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" windowWidth="19140" windowHeight="6840" activeTab="1"/>
  </bookViews>
  <sheets>
    <sheet name="Print" sheetId="4" r:id="rId1"/>
    <sheet name="Data" sheetId="1" r:id="rId2"/>
    <sheet name="Summary" sheetId="2" r:id="rId3"/>
    <sheet name="Lookups" sheetId="3" r:id="rId4"/>
  </sheets>
  <calcPr calcId="144525"/>
</workbook>
</file>

<file path=xl/calcChain.xml><?xml version="1.0" encoding="utf-8"?>
<calcChain xmlns="http://schemas.openxmlformats.org/spreadsheetml/2006/main">
  <c r="K211" i="1" l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4" i="1"/>
  <c r="K103" i="1"/>
  <c r="K102" i="1"/>
  <c r="K101" i="1"/>
  <c r="K100" i="1"/>
  <c r="K99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3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K119" i="1" s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K105" i="1" s="1"/>
  <c r="J104" i="1"/>
  <c r="J103" i="1"/>
  <c r="J102" i="1"/>
  <c r="J101" i="1"/>
  <c r="J100" i="1"/>
  <c r="J99" i="1"/>
  <c r="J98" i="1"/>
  <c r="K98" i="1" s="1"/>
  <c r="J97" i="1"/>
  <c r="K97" i="1" s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J56" i="1"/>
  <c r="J55" i="1"/>
  <c r="J54" i="1"/>
  <c r="J53" i="1"/>
  <c r="J52" i="1"/>
  <c r="J51" i="1"/>
  <c r="K51" i="1" s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C13" i="4"/>
  <c r="C12" i="4"/>
  <c r="B13" i="4"/>
  <c r="B12" i="4"/>
  <c r="C6" i="2" l="1"/>
  <c r="L33" i="1"/>
  <c r="F33" i="1"/>
  <c r="B10" i="2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B5" i="3"/>
  <c r="B3" i="3"/>
  <c r="B4" i="3"/>
  <c r="A25" i="2"/>
  <c r="F212" i="1" l="1"/>
  <c r="L192" i="1"/>
  <c r="L190" i="1"/>
  <c r="L152" i="1"/>
  <c r="L139" i="1"/>
  <c r="L123" i="1"/>
  <c r="L120" i="1"/>
  <c r="L119" i="1"/>
  <c r="L117" i="1"/>
  <c r="L111" i="1"/>
  <c r="L65" i="1"/>
  <c r="L43" i="1"/>
  <c r="L41" i="1"/>
  <c r="L35" i="1"/>
  <c r="L28" i="1"/>
  <c r="L25" i="1"/>
  <c r="L209" i="1" l="1"/>
  <c r="L208" i="1"/>
  <c r="L206" i="1"/>
  <c r="L203" i="1"/>
  <c r="L201" i="1"/>
  <c r="L199" i="1"/>
  <c r="L193" i="1"/>
  <c r="L187" i="1"/>
  <c r="L186" i="1"/>
  <c r="L185" i="1"/>
  <c r="L184" i="1"/>
  <c r="L182" i="1"/>
  <c r="L180" i="1"/>
  <c r="L178" i="1"/>
  <c r="L177" i="1"/>
  <c r="L175" i="1"/>
  <c r="L174" i="1"/>
  <c r="L173" i="1"/>
  <c r="L172" i="1"/>
  <c r="L170" i="1"/>
  <c r="L169" i="1"/>
  <c r="L168" i="1"/>
  <c r="L163" i="1"/>
  <c r="L161" i="1"/>
  <c r="L157" i="1"/>
  <c r="L155" i="1"/>
  <c r="L150" i="1"/>
  <c r="L149" i="1"/>
  <c r="L148" i="1"/>
  <c r="L146" i="1"/>
  <c r="L145" i="1"/>
  <c r="L143" i="1"/>
  <c r="L140" i="1"/>
  <c r="L136" i="1"/>
  <c r="L135" i="1"/>
  <c r="L134" i="1"/>
  <c r="L133" i="1"/>
  <c r="L132" i="1"/>
  <c r="L131" i="1"/>
  <c r="L129" i="1"/>
  <c r="L125" i="1"/>
  <c r="L121" i="1"/>
  <c r="L116" i="1"/>
  <c r="L114" i="1"/>
  <c r="L115" i="1"/>
  <c r="L112" i="1"/>
  <c r="L108" i="1"/>
  <c r="L103" i="1"/>
  <c r="L101" i="1"/>
  <c r="L97" i="1"/>
  <c r="L96" i="1"/>
  <c r="L95" i="1"/>
  <c r="L92" i="1"/>
  <c r="L93" i="1"/>
  <c r="L94" i="1"/>
  <c r="L91" i="1"/>
  <c r="L80" i="1"/>
  <c r="L79" i="1"/>
  <c r="L78" i="1"/>
  <c r="L76" i="1"/>
  <c r="L74" i="1"/>
  <c r="L73" i="1"/>
  <c r="L64" i="1"/>
  <c r="L63" i="1"/>
  <c r="L61" i="1"/>
  <c r="L56" i="1"/>
  <c r="L47" i="1"/>
  <c r="L44" i="1"/>
  <c r="L40" i="1"/>
  <c r="L39" i="1"/>
  <c r="L36" i="1"/>
  <c r="L24" i="1"/>
  <c r="L19" i="1"/>
  <c r="L18" i="1"/>
  <c r="L14" i="1"/>
  <c r="L9" i="1"/>
  <c r="L7" i="1"/>
  <c r="L6" i="1"/>
  <c r="L5" i="1"/>
  <c r="L106" i="1"/>
  <c r="L107" i="1"/>
  <c r="L109" i="1"/>
  <c r="L110" i="1"/>
  <c r="L113" i="1"/>
  <c r="L118" i="1"/>
  <c r="L122" i="1"/>
  <c r="L124" i="1"/>
  <c r="L126" i="1"/>
  <c r="L127" i="1"/>
  <c r="L128" i="1"/>
  <c r="L130" i="1"/>
  <c r="L137" i="1"/>
  <c r="L138" i="1"/>
  <c r="L141" i="1"/>
  <c r="L142" i="1"/>
  <c r="L144" i="1"/>
  <c r="L147" i="1"/>
  <c r="L151" i="1"/>
  <c r="L153" i="1"/>
  <c r="L154" i="1"/>
  <c r="L156" i="1"/>
  <c r="L158" i="1"/>
  <c r="L159" i="1"/>
  <c r="L160" i="1"/>
  <c r="L162" i="1"/>
  <c r="L164" i="1"/>
  <c r="L165" i="1"/>
  <c r="L166" i="1"/>
  <c r="L167" i="1"/>
  <c r="L171" i="1"/>
  <c r="L176" i="1"/>
  <c r="L179" i="1"/>
  <c r="L181" i="1"/>
  <c r="L183" i="1"/>
  <c r="L188" i="1"/>
  <c r="L189" i="1"/>
  <c r="L191" i="1"/>
  <c r="L194" i="1"/>
  <c r="L195" i="1"/>
  <c r="L196" i="1"/>
  <c r="L197" i="1"/>
  <c r="L198" i="1"/>
  <c r="L200" i="1"/>
  <c r="L202" i="1"/>
  <c r="L204" i="1"/>
  <c r="L205" i="1"/>
  <c r="L207" i="1"/>
  <c r="L210" i="1"/>
  <c r="L105" i="1"/>
  <c r="L53" i="1"/>
  <c r="L54" i="1"/>
  <c r="L55" i="1"/>
  <c r="L57" i="1"/>
  <c r="L58" i="1"/>
  <c r="L59" i="1"/>
  <c r="L60" i="1"/>
  <c r="L62" i="1"/>
  <c r="L66" i="1"/>
  <c r="L67" i="1"/>
  <c r="L68" i="1"/>
  <c r="L69" i="1"/>
  <c r="L70" i="1"/>
  <c r="L71" i="1"/>
  <c r="L72" i="1"/>
  <c r="L75" i="1"/>
  <c r="L77" i="1"/>
  <c r="L81" i="1"/>
  <c r="L82" i="1"/>
  <c r="L83" i="1"/>
  <c r="L84" i="1"/>
  <c r="L85" i="1"/>
  <c r="L86" i="1"/>
  <c r="L87" i="1"/>
  <c r="L88" i="1"/>
  <c r="L89" i="1"/>
  <c r="L90" i="1"/>
  <c r="L98" i="1"/>
  <c r="L99" i="1"/>
  <c r="L100" i="1"/>
  <c r="L102" i="1"/>
  <c r="L104" i="1"/>
  <c r="L52" i="1"/>
  <c r="L29" i="1"/>
  <c r="L26" i="1"/>
  <c r="L13" i="1"/>
  <c r="L10" i="1"/>
  <c r="E15" i="2" l="1"/>
  <c r="C21" i="2"/>
  <c r="B21" i="2"/>
  <c r="L48" i="1"/>
  <c r="L49" i="1"/>
  <c r="L45" i="1"/>
  <c r="A214" i="1"/>
  <c r="B3" i="2"/>
  <c r="B11" i="2"/>
  <c r="B12" i="2" s="1"/>
  <c r="B8" i="2"/>
  <c r="B27" i="2" s="1"/>
  <c r="B5" i="2"/>
  <c r="B7" i="2" s="1"/>
  <c r="L50" i="1"/>
  <c r="L4" i="1"/>
  <c r="L8" i="1"/>
  <c r="L11" i="1"/>
  <c r="L12" i="1"/>
  <c r="L15" i="1"/>
  <c r="L16" i="1"/>
  <c r="L17" i="1"/>
  <c r="L20" i="1"/>
  <c r="L21" i="1"/>
  <c r="L22" i="1"/>
  <c r="L23" i="1"/>
  <c r="L27" i="1"/>
  <c r="L30" i="1"/>
  <c r="L31" i="1"/>
  <c r="L32" i="1"/>
  <c r="L34" i="1"/>
  <c r="L37" i="1"/>
  <c r="L38" i="1"/>
  <c r="L42" i="1"/>
  <c r="L46" i="1"/>
  <c r="I212" i="1"/>
  <c r="C212" i="1"/>
  <c r="C3" i="2" s="1"/>
  <c r="L211" i="1"/>
  <c r="E212" i="1"/>
  <c r="C8" i="2" s="1"/>
  <c r="G212" i="1"/>
  <c r="D212" i="1"/>
  <c r="C5" i="2" s="1"/>
  <c r="C7" i="2" s="1"/>
  <c r="C11" i="2" l="1"/>
  <c r="E7" i="2"/>
  <c r="F7" i="2" s="1"/>
  <c r="C25" i="2"/>
  <c r="C26" i="2" s="1"/>
  <c r="F8" i="2"/>
  <c r="C27" i="2"/>
  <c r="E8" i="2"/>
  <c r="D6" i="2"/>
  <c r="D7" i="2"/>
  <c r="D5" i="2"/>
  <c r="J212" i="1"/>
  <c r="C10" i="2" l="1"/>
  <c r="E27" i="2"/>
  <c r="F27" i="2" s="1"/>
  <c r="C31" i="2"/>
  <c r="L51" i="1"/>
  <c r="K212" i="1"/>
  <c r="C7" i="4" l="1"/>
  <c r="C5" i="4"/>
  <c r="B5" i="4"/>
  <c r="E5" i="4"/>
  <c r="C8" i="4"/>
  <c r="E7" i="4"/>
  <c r="B4" i="4"/>
  <c r="B8" i="4"/>
  <c r="B6" i="4"/>
  <c r="B7" i="4"/>
  <c r="C6" i="4"/>
  <c r="C4" i="4"/>
  <c r="D20" i="2"/>
  <c r="E20" i="2"/>
  <c r="D16" i="2"/>
  <c r="C12" i="2"/>
  <c r="D10" i="2" s="1"/>
  <c r="E31" i="2"/>
  <c r="F31" i="2" s="1"/>
  <c r="D17" i="2"/>
  <c r="G19" i="2"/>
  <c r="G17" i="2"/>
  <c r="D19" i="2"/>
  <c r="E18" i="2"/>
  <c r="D18" i="2"/>
  <c r="E19" i="2"/>
  <c r="E17" i="2"/>
  <c r="E16" i="2"/>
  <c r="C9" i="4" l="1"/>
  <c r="D6" i="4" s="1"/>
  <c r="B9" i="4"/>
  <c r="D12" i="4" s="1"/>
  <c r="D13" i="4"/>
  <c r="D12" i="2"/>
  <c r="E12" i="2"/>
  <c r="F12" i="2" s="1"/>
  <c r="D11" i="2"/>
  <c r="D21" i="2"/>
  <c r="D22" i="2" s="1"/>
  <c r="E21" i="2"/>
  <c r="F18" i="2" s="1"/>
  <c r="D8" i="4" l="1"/>
  <c r="D4" i="4"/>
  <c r="D5" i="4"/>
  <c r="D7" i="4"/>
  <c r="D9" i="4"/>
  <c r="F17" i="2"/>
  <c r="F19" i="2"/>
  <c r="F20" i="2"/>
  <c r="F16" i="2"/>
  <c r="E22" i="2"/>
  <c r="F21" i="2" l="1"/>
</calcChain>
</file>

<file path=xl/sharedStrings.xml><?xml version="1.0" encoding="utf-8"?>
<sst xmlns="http://schemas.openxmlformats.org/spreadsheetml/2006/main" count="839" uniqueCount="550">
  <si>
    <t>Last</t>
  </si>
  <si>
    <t>First</t>
  </si>
  <si>
    <t>Giving Units</t>
  </si>
  <si>
    <t>2021 Giving</t>
  </si>
  <si>
    <t>Pledge</t>
  </si>
  <si>
    <t>Sept YTD</t>
  </si>
  <si>
    <t>Difference</t>
  </si>
  <si>
    <t>$</t>
  </si>
  <si>
    <t>Alton</t>
  </si>
  <si>
    <t>Del &amp; Shirley</t>
  </si>
  <si>
    <t>Timing*</t>
  </si>
  <si>
    <t>S/I/D/N**</t>
  </si>
  <si>
    <t>Anderson</t>
  </si>
  <si>
    <t>Gary &amp; Kathy</t>
  </si>
  <si>
    <t>Ashton</t>
  </si>
  <si>
    <t>Backmann</t>
  </si>
  <si>
    <t>Dave</t>
  </si>
  <si>
    <t>Bartel</t>
  </si>
  <si>
    <t>Brad and Ann</t>
  </si>
  <si>
    <t>Baumgardt</t>
  </si>
  <si>
    <t>Tony &amp; Tanya</t>
  </si>
  <si>
    <t>Baylor</t>
  </si>
  <si>
    <t>Carol</t>
  </si>
  <si>
    <t>Belanger</t>
  </si>
  <si>
    <t>Shelly</t>
  </si>
  <si>
    <t>Bertlesen</t>
  </si>
  <si>
    <t>Sue</t>
  </si>
  <si>
    <t>Kari</t>
  </si>
  <si>
    <t>Bidstrup</t>
  </si>
  <si>
    <t>Betty</t>
  </si>
  <si>
    <t>Blickle</t>
  </si>
  <si>
    <t>John &amp; Barb</t>
  </si>
  <si>
    <t>Bidtrup</t>
  </si>
  <si>
    <t>Karla</t>
  </si>
  <si>
    <t>Bonnett</t>
  </si>
  <si>
    <t>Wally &amp; Lyn</t>
  </si>
  <si>
    <t>Borgardt</t>
  </si>
  <si>
    <t>Diane</t>
  </si>
  <si>
    <t>Veryl</t>
  </si>
  <si>
    <t>Bunker</t>
  </si>
  <si>
    <t>Tom &amp; Carol</t>
  </si>
  <si>
    <t>Campbell</t>
  </si>
  <si>
    <t>Steve &amp; Kim</t>
  </si>
  <si>
    <t>A</t>
  </si>
  <si>
    <t>TOTALS</t>
  </si>
  <si>
    <t>Maryjane</t>
  </si>
  <si>
    <t>W</t>
  </si>
  <si>
    <t>M</t>
  </si>
  <si>
    <t>*    A=Annual, M=Monthly, W=Weekly, B=Bi-Weekly, S=Semi Annual</t>
  </si>
  <si>
    <t>B</t>
  </si>
  <si>
    <t>Estimate</t>
  </si>
  <si>
    <t># of Giving Units</t>
  </si>
  <si>
    <t xml:space="preserve">          Pledges</t>
  </si>
  <si>
    <t>2023:</t>
  </si>
  <si>
    <t>2022:</t>
  </si>
  <si>
    <t xml:space="preserve">          Sept YTD</t>
  </si>
  <si>
    <t>Total 2023</t>
  </si>
  <si>
    <t xml:space="preserve">          Estimate (No Pledge)</t>
  </si>
  <si>
    <t>% chg</t>
  </si>
  <si>
    <t>$ chg</t>
  </si>
  <si>
    <t>% of Total</t>
  </si>
  <si>
    <t>2023 Detail</t>
  </si>
  <si>
    <t>Did not pledge in 2022</t>
  </si>
  <si>
    <t>Same pledge as in 2022</t>
  </si>
  <si>
    <t>Total</t>
  </si>
  <si>
    <t>?</t>
  </si>
  <si>
    <t>Same pledge</t>
  </si>
  <si>
    <t>Increased pledge</t>
  </si>
  <si>
    <t>New pledge</t>
  </si>
  <si>
    <t>Decrease pledge</t>
  </si>
  <si>
    <t>Andreasen</t>
  </si>
  <si>
    <t>Kathy</t>
  </si>
  <si>
    <t>Barke</t>
  </si>
  <si>
    <t>Dave &amp; Vicki</t>
  </si>
  <si>
    <t>Kim &amp; Joan</t>
  </si>
  <si>
    <t>Blagec</t>
  </si>
  <si>
    <t>Bliss</t>
  </si>
  <si>
    <t>Jason &amp; DeAnn</t>
  </si>
  <si>
    <t>Christiansen</t>
  </si>
  <si>
    <t>Peggy</t>
  </si>
  <si>
    <t>Clausen</t>
  </si>
  <si>
    <t>Sandra</t>
  </si>
  <si>
    <t>Cline</t>
  </si>
  <si>
    <t>John &amp; Christy</t>
  </si>
  <si>
    <t>Curran</t>
  </si>
  <si>
    <t>Floyd and Lyn</t>
  </si>
  <si>
    <t>Nicci</t>
  </si>
  <si>
    <t>David</t>
  </si>
  <si>
    <t>Bill &amp; Judith</t>
  </si>
  <si>
    <t>DeCamp</t>
  </si>
  <si>
    <t>Jim &amp; Myrna</t>
  </si>
  <si>
    <t>DenHartigh</t>
  </si>
  <si>
    <t>Doris</t>
  </si>
  <si>
    <t>DeVito</t>
  </si>
  <si>
    <t>Cindy</t>
  </si>
  <si>
    <t>Doe</t>
  </si>
  <si>
    <t>Jamie &amp; Lynn</t>
  </si>
  <si>
    <t>Douglas</t>
  </si>
  <si>
    <t>Helen</t>
  </si>
  <si>
    <t>Dues</t>
  </si>
  <si>
    <t>Steve &amp; Connie</t>
  </si>
  <si>
    <t>Enloe</t>
  </si>
  <si>
    <t>Audrey</t>
  </si>
  <si>
    <t>Erbe</t>
  </si>
  <si>
    <t>Erickson</t>
  </si>
  <si>
    <t>Carl</t>
  </si>
  <si>
    <t>Fehl</t>
  </si>
  <si>
    <t>Ken &amp; MaryAnn</t>
  </si>
  <si>
    <t>Fritz</t>
  </si>
  <si>
    <t>Kristin</t>
  </si>
  <si>
    <t>Gardner</t>
  </si>
  <si>
    <t>Eric &amp; Connie</t>
  </si>
  <si>
    <t>Gavigan</t>
  </si>
  <si>
    <t>Georgeson</t>
  </si>
  <si>
    <t>Jim &amp; Sandy</t>
  </si>
  <si>
    <t>Gilbertson</t>
  </si>
  <si>
    <t>Jan</t>
  </si>
  <si>
    <t>Gissell</t>
  </si>
  <si>
    <t>Bill &amp; Linda</t>
  </si>
  <si>
    <t>Grabanski</t>
  </si>
  <si>
    <t>Ed &amp; Kathy</t>
  </si>
  <si>
    <t>Gunderson</t>
  </si>
  <si>
    <t>Hauch</t>
  </si>
  <si>
    <t>Tom &amp; Mary</t>
  </si>
  <si>
    <t>Hewitt</t>
  </si>
  <si>
    <t>John</t>
  </si>
  <si>
    <t>Hjortness</t>
  </si>
  <si>
    <t>Marcella</t>
  </si>
  <si>
    <t>Hoffmann</t>
  </si>
  <si>
    <t>Ruth</t>
  </si>
  <si>
    <t>Holm</t>
  </si>
  <si>
    <t>Harold &amp; Grace</t>
  </si>
  <si>
    <t>Holz</t>
  </si>
  <si>
    <t>Huth</t>
  </si>
  <si>
    <t>Duane &amp; Barb</t>
  </si>
  <si>
    <t>Israel</t>
  </si>
  <si>
    <t>John &amp; Emily</t>
  </si>
  <si>
    <t>Jacobson</t>
  </si>
  <si>
    <t>Fred &amp; Lynette</t>
  </si>
  <si>
    <t>Steve &amp; Dawn</t>
  </si>
  <si>
    <t>Jaskulske</t>
  </si>
  <si>
    <t>Valerie</t>
  </si>
  <si>
    <t>Keszler</t>
  </si>
  <si>
    <t>Heather</t>
  </si>
  <si>
    <t>Kiemen</t>
  </si>
  <si>
    <t>Joe &amp; Marilyn</t>
  </si>
  <si>
    <t>Kirt</t>
  </si>
  <si>
    <t>Jacki</t>
  </si>
  <si>
    <t>Kissner</t>
  </si>
  <si>
    <t>Robert &amp; Rita</t>
  </si>
  <si>
    <t>Klemick</t>
  </si>
  <si>
    <t>Kevin &amp; Jennifer</t>
  </si>
  <si>
    <t>Klopp</t>
  </si>
  <si>
    <t>Don &amp; Marge</t>
  </si>
  <si>
    <t>Knudson</t>
  </si>
  <si>
    <t>Roger</t>
  </si>
  <si>
    <t>Koechell</t>
  </si>
  <si>
    <t>Kramer</t>
  </si>
  <si>
    <t>Shirley</t>
  </si>
  <si>
    <t>Kroll</t>
  </si>
  <si>
    <t>Bill &amp; Nancy</t>
  </si>
  <si>
    <t>Krueger</t>
  </si>
  <si>
    <t>Leah</t>
  </si>
  <si>
    <t>Levonian</t>
  </si>
  <si>
    <t>Joyce</t>
  </si>
  <si>
    <t>Mako</t>
  </si>
  <si>
    <t>Louie &amp; Karen</t>
  </si>
  <si>
    <t>Mantey</t>
  </si>
  <si>
    <t>John &amp; Mary Ann</t>
  </si>
  <si>
    <t>Matthews</t>
  </si>
  <si>
    <t>McKenna</t>
  </si>
  <si>
    <t>Colin &amp; Julie</t>
  </si>
  <si>
    <t>Miller, Sr.</t>
  </si>
  <si>
    <t>Paul &amp; Rita</t>
  </si>
  <si>
    <t>Miller</t>
  </si>
  <si>
    <t>Mohrbacher</t>
  </si>
  <si>
    <t>LeRoy</t>
  </si>
  <si>
    <t>Melissa</t>
  </si>
  <si>
    <t>Molina</t>
  </si>
  <si>
    <t>Sharon</t>
  </si>
  <si>
    <t>Mortensen</t>
  </si>
  <si>
    <t>Bill &amp; Carmen</t>
  </si>
  <si>
    <t>Nance</t>
  </si>
  <si>
    <t>Nelson</t>
  </si>
  <si>
    <t>Virginia</t>
  </si>
  <si>
    <t>Nielsen</t>
  </si>
  <si>
    <t>Dave &amp; Sandy</t>
  </si>
  <si>
    <t>Nottleson</t>
  </si>
  <si>
    <t>Neal &amp; Gerry</t>
  </si>
  <si>
    <t>Oesau</t>
  </si>
  <si>
    <t>Scott</t>
  </si>
  <si>
    <t>Olsen</t>
  </si>
  <si>
    <t>Dwayne &amp; Myrna</t>
  </si>
  <si>
    <t>Pahl</t>
  </si>
  <si>
    <t>Jeff &amp; Karen</t>
  </si>
  <si>
    <t>Payan</t>
  </si>
  <si>
    <t>Debra</t>
  </si>
  <si>
    <t>Pederson</t>
  </si>
  <si>
    <t>Dan &amp; Connie</t>
  </si>
  <si>
    <t>Petrach</t>
  </si>
  <si>
    <t>Chuck &amp; Rachel</t>
  </si>
  <si>
    <t>Pfeffer</t>
  </si>
  <si>
    <t>Julie</t>
  </si>
  <si>
    <t>Rivest</t>
  </si>
  <si>
    <t>Bonnie</t>
  </si>
  <si>
    <t>Robe</t>
  </si>
  <si>
    <t>Stacy</t>
  </si>
  <si>
    <t>Rosemann</t>
  </si>
  <si>
    <t>Kristopher &amp; Morgan</t>
  </si>
  <si>
    <t>Scheller</t>
  </si>
  <si>
    <t>Roy</t>
  </si>
  <si>
    <t>Sell</t>
  </si>
  <si>
    <t>Lisa</t>
  </si>
  <si>
    <t>Sheriff</t>
  </si>
  <si>
    <t>Thomas &amp; Kathy</t>
  </si>
  <si>
    <t>Skaar</t>
  </si>
  <si>
    <t>Scott &amp; Jennifer</t>
  </si>
  <si>
    <t>Sorensen</t>
  </si>
  <si>
    <t>Ron</t>
  </si>
  <si>
    <t>Studrawa</t>
  </si>
  <si>
    <t>Audrey &amp; Frank</t>
  </si>
  <si>
    <t>Suiter</t>
  </si>
  <si>
    <t>Ron &amp; Betty</t>
  </si>
  <si>
    <t>Swiden</t>
  </si>
  <si>
    <t>Tague</t>
  </si>
  <si>
    <t>Pam</t>
  </si>
  <si>
    <t>Trabert</t>
  </si>
  <si>
    <t>Debbie</t>
  </si>
  <si>
    <t>Tuttle</t>
  </si>
  <si>
    <t>Barb</t>
  </si>
  <si>
    <t>Vacek</t>
  </si>
  <si>
    <t>Calvin &amp; Luann</t>
  </si>
  <si>
    <t>Vallone</t>
  </si>
  <si>
    <t>VanderLeest</t>
  </si>
  <si>
    <t>Don &amp; Inge</t>
  </si>
  <si>
    <t>Wanggard</t>
  </si>
  <si>
    <t>Mark &amp; Nancy</t>
  </si>
  <si>
    <t>Weber</t>
  </si>
  <si>
    <t>Dave &amp; Judy</t>
  </si>
  <si>
    <t>Weiss</t>
  </si>
  <si>
    <t>Jay &amp; Kirsten</t>
  </si>
  <si>
    <t>Wernicke</t>
  </si>
  <si>
    <t>Dave &amp; Lori</t>
  </si>
  <si>
    <t>Wint</t>
  </si>
  <si>
    <t>Jonathon &amp; Gayle</t>
  </si>
  <si>
    <t>Yarrington</t>
  </si>
  <si>
    <t>Larry &amp; Jeanette</t>
  </si>
  <si>
    <t>Andersen</t>
  </si>
  <si>
    <t>Curt &amp; Marilyn</t>
  </si>
  <si>
    <t>Mark &amp; Cathy</t>
  </si>
  <si>
    <t>David &amp; Kelly</t>
  </si>
  <si>
    <t>Jeanne</t>
  </si>
  <si>
    <t>Barootian</t>
  </si>
  <si>
    <t>Eileen</t>
  </si>
  <si>
    <t>Trenton &amp; Kara</t>
  </si>
  <si>
    <t>Behlke</t>
  </si>
  <si>
    <t>Darwin</t>
  </si>
  <si>
    <t>Black</t>
  </si>
  <si>
    <t>Carrie</t>
  </si>
  <si>
    <t>Chris &amp; Mary</t>
  </si>
  <si>
    <t>Campbell, Jr.</t>
  </si>
  <si>
    <t>Canman</t>
  </si>
  <si>
    <t>Cannon</t>
  </si>
  <si>
    <t>Star</t>
  </si>
  <si>
    <t>Capasso</t>
  </si>
  <si>
    <t>Jim &amp; Sara</t>
  </si>
  <si>
    <t>Christopherson</t>
  </si>
  <si>
    <t>Mel &amp; Joyce</t>
  </si>
  <si>
    <t>Covelli</t>
  </si>
  <si>
    <t>Bob &amp; Lisa</t>
  </si>
  <si>
    <t>Kris</t>
  </si>
  <si>
    <t>Escobar</t>
  </si>
  <si>
    <t>Carmen</t>
  </si>
  <si>
    <t>Fenkl</t>
  </si>
  <si>
    <t>Kevin &amp; Kristi</t>
  </si>
  <si>
    <t>Frayer</t>
  </si>
  <si>
    <t>Sherry</t>
  </si>
  <si>
    <t>Grindeland</t>
  </si>
  <si>
    <t>Dawne</t>
  </si>
  <si>
    <t>Guillien</t>
  </si>
  <si>
    <t>Haman</t>
  </si>
  <si>
    <t>Jeffrey &amp; Nancy</t>
  </si>
  <si>
    <t>Helmle</t>
  </si>
  <si>
    <t>Adele</t>
  </si>
  <si>
    <t>Henkel</t>
  </si>
  <si>
    <t>Marc &amp; Linda</t>
  </si>
  <si>
    <t>Hernandez</t>
  </si>
  <si>
    <t>Bobbie</t>
  </si>
  <si>
    <t>Jensen</t>
  </si>
  <si>
    <t>Bill &amp; Kim</t>
  </si>
  <si>
    <t>Johnson</t>
  </si>
  <si>
    <t>Lyle</t>
  </si>
  <si>
    <t>Kangas</t>
  </si>
  <si>
    <t>Dale &amp; Mary Ann</t>
  </si>
  <si>
    <t>Keck</t>
  </si>
  <si>
    <t>Kenyon</t>
  </si>
  <si>
    <t>Adam</t>
  </si>
  <si>
    <t>Kisley</t>
  </si>
  <si>
    <t>Randy</t>
  </si>
  <si>
    <t>Klein</t>
  </si>
  <si>
    <t>Pat</t>
  </si>
  <si>
    <t>Kozlik</t>
  </si>
  <si>
    <t>Aaron &amp; Edith</t>
  </si>
  <si>
    <t>Dean &amp; Jody</t>
  </si>
  <si>
    <t>Krupper, Jr.</t>
  </si>
  <si>
    <t>Bernie</t>
  </si>
  <si>
    <t>Kuzniar</t>
  </si>
  <si>
    <t>Madeline</t>
  </si>
  <si>
    <t>Larson</t>
  </si>
  <si>
    <t>Judy</t>
  </si>
  <si>
    <t>Lube</t>
  </si>
  <si>
    <t>Melvina</t>
  </si>
  <si>
    <t>Masko</t>
  </si>
  <si>
    <t>Terry &amp; Linda</t>
  </si>
  <si>
    <t>Bob</t>
  </si>
  <si>
    <t>Don &amp; Sandy</t>
  </si>
  <si>
    <t>Ralph</t>
  </si>
  <si>
    <t>Miritz</t>
  </si>
  <si>
    <t>Dr. &amp; Linda</t>
  </si>
  <si>
    <t>Mitchell</t>
  </si>
  <si>
    <t>Mike</t>
  </si>
  <si>
    <t>Modrow, Sr.</t>
  </si>
  <si>
    <t>Bob &amp; Jean</t>
  </si>
  <si>
    <t>Mohalley</t>
  </si>
  <si>
    <t>Chris &amp; Kim</t>
  </si>
  <si>
    <t>Molbeck</t>
  </si>
  <si>
    <t>Murphy</t>
  </si>
  <si>
    <t>Napier</t>
  </si>
  <si>
    <t>Glenn &amp; Sue</t>
  </si>
  <si>
    <t>Earl</t>
  </si>
  <si>
    <t>JoAnn &amp; Mike</t>
  </si>
  <si>
    <t>Linda</t>
  </si>
  <si>
    <t>Tom &amp; Jackie</t>
  </si>
  <si>
    <t>Olley</t>
  </si>
  <si>
    <t>Barbara</t>
  </si>
  <si>
    <t>Olson</t>
  </si>
  <si>
    <t>Denise</t>
  </si>
  <si>
    <t>Peters</t>
  </si>
  <si>
    <t>Scott &amp; Rayann</t>
  </si>
  <si>
    <t>Petricek</t>
  </si>
  <si>
    <t>Jennifer</t>
  </si>
  <si>
    <t>Rosenberg</t>
  </si>
  <si>
    <t>Wes &amp; Tammy</t>
  </si>
  <si>
    <t>Rosienski</t>
  </si>
  <si>
    <t>Liz</t>
  </si>
  <si>
    <t>Saavedra</t>
  </si>
  <si>
    <t>Tim &amp; Kelly</t>
  </si>
  <si>
    <t>Schinkowitch</t>
  </si>
  <si>
    <t>Paul &amp; Mary</t>
  </si>
  <si>
    <t>Schultz</t>
  </si>
  <si>
    <t>Jerry &amp; Jane</t>
  </si>
  <si>
    <t>Ann</t>
  </si>
  <si>
    <t>Schwartz</t>
  </si>
  <si>
    <t>Jill</t>
  </si>
  <si>
    <t>Senzig</t>
  </si>
  <si>
    <t>Jack</t>
  </si>
  <si>
    <t>Sharpe</t>
  </si>
  <si>
    <t>Bob &amp; Barb</t>
  </si>
  <si>
    <t>Shittu</t>
  </si>
  <si>
    <t>Gilda</t>
  </si>
  <si>
    <t>Smith</t>
  </si>
  <si>
    <t>Steve &amp; Danielle</t>
  </si>
  <si>
    <t>Sporer</t>
  </si>
  <si>
    <t>Mary</t>
  </si>
  <si>
    <t>Steensen</t>
  </si>
  <si>
    <t>Stich</t>
  </si>
  <si>
    <t>Crystal</t>
  </si>
  <si>
    <t>Todorovic</t>
  </si>
  <si>
    <t>Connie</t>
  </si>
  <si>
    <t>Voll</t>
  </si>
  <si>
    <t>Ron &amp; Lynda</t>
  </si>
  <si>
    <t>Wayo</t>
  </si>
  <si>
    <t>Darlene</t>
  </si>
  <si>
    <t>Eric &amp; Kari</t>
  </si>
  <si>
    <t>Wertman</t>
  </si>
  <si>
    <t>Woodhull</t>
  </si>
  <si>
    <t>Wunderle</t>
  </si>
  <si>
    <t>Jeffrey &amp; Kara</t>
  </si>
  <si>
    <t>LCR Pledge Analysis (Detail)</t>
  </si>
  <si>
    <t>Nsyhsn &amp; Crystal</t>
  </si>
  <si>
    <t>MaryAnn</t>
  </si>
  <si>
    <t>Buska</t>
  </si>
  <si>
    <t>Donna</t>
  </si>
  <si>
    <t>Carlson</t>
  </si>
  <si>
    <t>Leigh &amp; Keri</t>
  </si>
  <si>
    <t>Cieczka</t>
  </si>
  <si>
    <t>Garret &amp; Cheryl</t>
  </si>
  <si>
    <t>Fries</t>
  </si>
  <si>
    <t>Jeff &amp; Barb</t>
  </si>
  <si>
    <t>Kromke</t>
  </si>
  <si>
    <t>Curt</t>
  </si>
  <si>
    <t>Larson, Jr.</t>
  </si>
  <si>
    <t>Mike &amp; Melissa</t>
  </si>
  <si>
    <t>Lewis</t>
  </si>
  <si>
    <t>Malik</t>
  </si>
  <si>
    <t>Elaine</t>
  </si>
  <si>
    <t>Jim</t>
  </si>
  <si>
    <t>Jim &amp; Mary Lou</t>
  </si>
  <si>
    <t>Drew</t>
  </si>
  <si>
    <t>Tylar</t>
  </si>
  <si>
    <t>Total 2022 Budget</t>
  </si>
  <si>
    <t>Total Pledges (Envelop giving only)</t>
  </si>
  <si>
    <t>Budget Pacing:  Oct</t>
  </si>
  <si>
    <t xml:space="preserve">                             Nov</t>
  </si>
  <si>
    <t xml:space="preserve">                             Dec</t>
  </si>
  <si>
    <t>Total 2022 Estimate with budget pacing</t>
  </si>
  <si>
    <t>YTD Month</t>
  </si>
  <si>
    <t>Sept YTD - Actual</t>
  </si>
  <si>
    <t>Sept YTD - Budget</t>
  </si>
  <si>
    <t>Email</t>
  </si>
  <si>
    <t>Address</t>
  </si>
  <si>
    <t>Street</t>
  </si>
  <si>
    <t>City</t>
  </si>
  <si>
    <t>State</t>
  </si>
  <si>
    <t>Zip</t>
  </si>
  <si>
    <t>mmcorkdork@gmail.com</t>
  </si>
  <si>
    <t>102 Portical Drive</t>
  </si>
  <si>
    <t>Mt Pleasant</t>
  </si>
  <si>
    <t>WI</t>
  </si>
  <si>
    <t>853 Stonefield Dr #301</t>
  </si>
  <si>
    <t>kath131@wi.rr.com</t>
  </si>
  <si>
    <t>3635 Monica Drive</t>
  </si>
  <si>
    <t>petvalhalla@sbcglobal.net</t>
  </si>
  <si>
    <t>Franksville</t>
  </si>
  <si>
    <t>davebackmann@gmail.com</t>
  </si>
  <si>
    <t>4529 Kerry Road</t>
  </si>
  <si>
    <t>jebaroot63@msn.com</t>
  </si>
  <si>
    <t>5624 Cambridge Lane #5</t>
  </si>
  <si>
    <t>abaumga08@yahoo.com</t>
  </si>
  <si>
    <t>2536 Dover Land</t>
  </si>
  <si>
    <t>Baylon</t>
  </si>
  <si>
    <t>carolann35@me.com</t>
  </si>
  <si>
    <t>6731 Brook Road</t>
  </si>
  <si>
    <t>psbelanger8@att.net</t>
  </si>
  <si>
    <t>2119 Waukesha Road</t>
  </si>
  <si>
    <t>Caledonia</t>
  </si>
  <si>
    <t>Susann</t>
  </si>
  <si>
    <t>2908 Raymond Ave</t>
  </si>
  <si>
    <t>$50 weekly to be given on a monthly basis</t>
  </si>
  <si>
    <t>beanzy25@gmail.com</t>
  </si>
  <si>
    <t>1441 Oakes Road #2</t>
  </si>
  <si>
    <t>dalton6466@gmail.com</t>
  </si>
  <si>
    <t>3608 Indian Trail</t>
  </si>
  <si>
    <t>Racine</t>
  </si>
  <si>
    <t>dimae525@yahoo.com</t>
  </si>
  <si>
    <t>1610 N. Ryaner Avenue</t>
  </si>
  <si>
    <t>Union Grove</t>
  </si>
  <si>
    <t>1208 N. Sunnyslope #103</t>
  </si>
  <si>
    <t>chriscampbell1106@gmail.com</t>
  </si>
  <si>
    <t>5737 Little Timber Dr</t>
  </si>
  <si>
    <t>sacnpac1239@gmail.com</t>
  </si>
  <si>
    <t>1550 Raintree Land #111</t>
  </si>
  <si>
    <t>D'Amour</t>
  </si>
  <si>
    <t>2651 Penbrook Dr</t>
  </si>
  <si>
    <t>ldoe@wi.rr.com</t>
  </si>
  <si>
    <t>5718 Cambridge Ln Unit 1</t>
  </si>
  <si>
    <t>53406-2833</t>
  </si>
  <si>
    <t>4611 Westway Ave</t>
  </si>
  <si>
    <t>53405-1957</t>
  </si>
  <si>
    <t>1100 Fountain Hills Dr</t>
  </si>
  <si>
    <t>blerbe500@gmail.com</t>
  </si>
  <si>
    <t>543 Mulberry Lane</t>
  </si>
  <si>
    <t>ericksoncarln@yahoo.com</t>
  </si>
  <si>
    <t>6830 Cliffside Dr</t>
  </si>
  <si>
    <t>conniegardner1@hotmail.com</t>
  </si>
  <si>
    <t>5900 Marnie Ct</t>
  </si>
  <si>
    <t>cjgavigan177@gmail.com</t>
  </si>
  <si>
    <t>102 Portico Drive</t>
  </si>
  <si>
    <t>sandra.georgeson@yahoo.com</t>
  </si>
  <si>
    <t>5128 Cynthia Lane</t>
  </si>
  <si>
    <t>Janice</t>
  </si>
  <si>
    <t>jhgilby_72@yahoo.com</t>
  </si>
  <si>
    <t>5600 Cambridge Lane Unit #6</t>
  </si>
  <si>
    <t>thauch@wi.rr.com</t>
  </si>
  <si>
    <t>jchewitt1943@gmail.com</t>
  </si>
  <si>
    <t>1100 Fountain Hills Dr  Apt 207A</t>
  </si>
  <si>
    <t>ghholm2@aol.com</t>
  </si>
  <si>
    <t>9439 Luanne Drive</t>
  </si>
  <si>
    <t>rholz1@wi.rr.com</t>
  </si>
  <si>
    <t>115 Robin Hill Drive</t>
  </si>
  <si>
    <t>dubar@att.net</t>
  </si>
  <si>
    <t>1340 Arthur Avenue</t>
  </si>
  <si>
    <t>lynette.jacobson54@gmail.com</t>
  </si>
  <si>
    <t>dmj7140@gmail.com</t>
  </si>
  <si>
    <t>7140 Aspen Ct</t>
  </si>
  <si>
    <t>jkiemen1942@gmail.com</t>
  </si>
  <si>
    <t>4800 Ridgeway Avenue</t>
  </si>
  <si>
    <t>1101 Augusta Street</t>
  </si>
  <si>
    <t>1501 Mauroe</t>
  </si>
  <si>
    <t>leazer@wi.rr.com</t>
  </si>
  <si>
    <t>1075 E Twin Oaks Drive</t>
  </si>
  <si>
    <t>Oak Creek</t>
  </si>
  <si>
    <t>esmalik@msn.com</t>
  </si>
  <si>
    <t>5215 Douglas Ave Apt 202</t>
  </si>
  <si>
    <t>mary.ann.mantey@gmail.com</t>
  </si>
  <si>
    <t>4512 Thomas Street</t>
  </si>
  <si>
    <t>matthew3239@sbcglobal.net</t>
  </si>
  <si>
    <t>3239 Fenceline Road</t>
  </si>
  <si>
    <t>mckennacolin59@gmail.com</t>
  </si>
  <si>
    <t>724 Crabtree Lane</t>
  </si>
  <si>
    <t>Christine</t>
  </si>
  <si>
    <t>jbknclm@att.net</t>
  </si>
  <si>
    <t>2121 Waukesha Road</t>
  </si>
  <si>
    <t>juliesptflowers@att.net</t>
  </si>
  <si>
    <t>2816 Shamrock Drive</t>
  </si>
  <si>
    <t>mitzymm@yahoo.com</t>
  </si>
  <si>
    <t>5313 Spring Street</t>
  </si>
  <si>
    <t>wmortensen@wi.rr.com</t>
  </si>
  <si>
    <t>5127  7 Mile Road</t>
  </si>
  <si>
    <t>rpetrach@gmail.com</t>
  </si>
  <si>
    <t>731 Sunnyview</t>
  </si>
  <si>
    <t>1415 53rd Drive</t>
  </si>
  <si>
    <t>tjsaavedra@hotmail.com</t>
  </si>
  <si>
    <t>3131 Reddin Road</t>
  </si>
  <si>
    <t>Wisconsin Rapids</t>
  </si>
  <si>
    <t>Give only when they attend with their parents</t>
  </si>
  <si>
    <t>tksheri1972@sbcglobal.net</t>
  </si>
  <si>
    <t>3601 Kinzie Avenue</t>
  </si>
  <si>
    <t>4616 Pierce Blvd</t>
  </si>
  <si>
    <t>fmstrudrawa@aol.com</t>
  </si>
  <si>
    <t>4335 Patzke Road</t>
  </si>
  <si>
    <t>mark.nancy1993@gmail.com</t>
  </si>
  <si>
    <t>6314 Larchmont Drive</t>
  </si>
  <si>
    <t>2715 Kenwood Drive</t>
  </si>
  <si>
    <t>ladw@sbcglobal.net</t>
  </si>
  <si>
    <t>243 Blaine Avenue</t>
  </si>
  <si>
    <t>jeffwunderle@yahoo.com</t>
  </si>
  <si>
    <t>Weeks</t>
  </si>
  <si>
    <t>Bi-Weeks</t>
  </si>
  <si>
    <t>Pledge is $175/month but $25/month goes to Building fund</t>
  </si>
  <si>
    <t>Total Pledge</t>
  </si>
  <si>
    <t>Total Estimate</t>
  </si>
  <si>
    <t>Left Church</t>
  </si>
  <si>
    <t>Remove per Cheryl</t>
  </si>
  <si>
    <t>Moved</t>
  </si>
  <si>
    <t>Deceased</t>
  </si>
  <si>
    <t>Haven't attended church</t>
  </si>
  <si>
    <t xml:space="preserve">          Estimate</t>
  </si>
  <si>
    <t>2022 Estimate (Envelop giving only)</t>
  </si>
  <si>
    <t>Estimate (no pledge received)</t>
  </si>
  <si>
    <t>Wants to stay as a member but might not contribute</t>
  </si>
  <si>
    <t>Brennan</t>
  </si>
  <si>
    <t>Dave &amp; Lindsay</t>
  </si>
  <si>
    <t>%</t>
  </si>
  <si>
    <t>Stopped their automatic giving Nov 2022</t>
  </si>
  <si>
    <t>Giving $</t>
  </si>
  <si>
    <t>2023 Pledges</t>
  </si>
  <si>
    <t>Using for 2023 Budget</t>
  </si>
  <si>
    <t>#</t>
  </si>
  <si>
    <t xml:space="preserve">  Before Easter, Thanksgiving and 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</si>
</sst>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3" fontId="0" fillId="0" borderId="0" xfId="0" applyNumberFormat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46" fontId="2" fillId="0" borderId="4" xfId="0" quotePrefix="1" applyNumberFormat="1" applyFont="1" applyBorder="1"/>
    <xf numFmtId="0" fontId="0" fillId="0" borderId="5" xfId="0" applyBorder="1"/>
    <xf numFmtId="3" fontId="0" fillId="0" borderId="0" xfId="0" applyNumberFormat="1" applyBorder="1"/>
    <xf numFmtId="0" fontId="7" fillId="0" borderId="0" xfId="0" applyFont="1" applyBorder="1" applyAlignment="1">
      <alignment horizontal="center" wrapText="1"/>
    </xf>
    <xf numFmtId="0" fontId="2" fillId="2" borderId="6" xfId="0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7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2" fillId="2" borderId="4" xfId="0" applyFont="1" applyFill="1" applyBorder="1"/>
    <xf numFmtId="164" fontId="0" fillId="0" borderId="0" xfId="2" applyNumberFormat="1" applyFont="1" applyBorder="1"/>
    <xf numFmtId="164" fontId="2" fillId="2" borderId="0" xfId="2" applyNumberFormat="1" applyFont="1" applyFill="1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2" borderId="7" xfId="2" applyNumberFormat="1" applyFont="1" applyFill="1" applyBorder="1"/>
    <xf numFmtId="9" fontId="2" fillId="2" borderId="8" xfId="2" applyFont="1" applyFill="1" applyBorder="1"/>
    <xf numFmtId="3" fontId="4" fillId="0" borderId="4" xfId="0" applyNumberFormat="1" applyFont="1" applyBorder="1"/>
    <xf numFmtId="3" fontId="2" fillId="2" borderId="6" xfId="0" applyNumberFormat="1" applyFont="1" applyFill="1" applyBorder="1"/>
    <xf numFmtId="3" fontId="4" fillId="0" borderId="13" xfId="0" applyNumberFormat="1" applyFont="1" applyBorder="1"/>
    <xf numFmtId="3" fontId="2" fillId="2" borderId="14" xfId="0" applyNumberFormat="1" applyFont="1" applyFill="1" applyBorder="1"/>
    <xf numFmtId="3" fontId="5" fillId="0" borderId="4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0" fillId="0" borderId="4" xfId="0" applyNumberFormat="1" applyBorder="1"/>
    <xf numFmtId="0" fontId="2" fillId="2" borderId="7" xfId="0" applyFont="1" applyFill="1" applyBorder="1"/>
    <xf numFmtId="0" fontId="2" fillId="2" borderId="8" xfId="0" applyFont="1" applyFill="1" applyBorder="1"/>
    <xf numFmtId="165" fontId="0" fillId="0" borderId="0" xfId="0" applyNumberFormat="1" applyBorder="1"/>
    <xf numFmtId="165" fontId="0" fillId="0" borderId="0" xfId="1" applyNumberFormat="1" applyFont="1" applyBorder="1"/>
    <xf numFmtId="165" fontId="4" fillId="0" borderId="0" xfId="1" applyNumberFormat="1" applyFont="1" applyBorder="1"/>
    <xf numFmtId="165" fontId="8" fillId="2" borderId="0" xfId="1" applyNumberFormat="1" applyFont="1" applyFill="1" applyBorder="1"/>
    <xf numFmtId="165" fontId="2" fillId="2" borderId="7" xfId="1" applyNumberFormat="1" applyFont="1" applyFill="1" applyBorder="1"/>
    <xf numFmtId="165" fontId="2" fillId="2" borderId="0" xfId="1" applyNumberFormat="1" applyFont="1" applyFill="1" applyBorder="1"/>
    <xf numFmtId="165" fontId="2" fillId="2" borderId="7" xfId="0" applyNumberFormat="1" applyFont="1" applyFill="1" applyBorder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2" fillId="2" borderId="5" xfId="2" applyNumberFormat="1" applyFont="1" applyFill="1" applyBorder="1"/>
    <xf numFmtId="164" fontId="2" fillId="0" borderId="0" xfId="2" applyNumberFormat="1" applyFont="1" applyFill="1" applyBorder="1"/>
    <xf numFmtId="165" fontId="2" fillId="0" borderId="0" xfId="1" applyNumberFormat="1" applyFont="1" applyFill="1" applyBorder="1"/>
    <xf numFmtId="0" fontId="2" fillId="0" borderId="5" xfId="0" applyFont="1" applyFill="1" applyBorder="1"/>
    <xf numFmtId="0" fontId="0" fillId="0" borderId="4" xfId="0" applyFont="1" applyFill="1" applyBorder="1"/>
    <xf numFmtId="164" fontId="0" fillId="0" borderId="5" xfId="2" applyNumberFormat="1" applyFont="1" applyBorder="1"/>
    <xf numFmtId="165" fontId="5" fillId="0" borderId="0" xfId="1" applyNumberFormat="1" applyFont="1" applyFill="1" applyBorder="1"/>
    <xf numFmtId="0" fontId="4" fillId="0" borderId="0" xfId="0" applyFont="1"/>
    <xf numFmtId="164" fontId="2" fillId="2" borderId="8" xfId="2" applyNumberFormat="1" applyFont="1" applyFill="1" applyBorder="1"/>
    <xf numFmtId="0" fontId="0" fillId="0" borderId="15" xfId="0" applyFont="1" applyFill="1" applyBorder="1"/>
    <xf numFmtId="165" fontId="5" fillId="0" borderId="16" xfId="1" applyNumberFormat="1" applyFont="1" applyFill="1" applyBorder="1"/>
    <xf numFmtId="164" fontId="2" fillId="0" borderId="16" xfId="2" applyNumberFormat="1" applyFont="1" applyFill="1" applyBorder="1"/>
    <xf numFmtId="165" fontId="2" fillId="0" borderId="16" xfId="1" applyNumberFormat="1" applyFont="1" applyFill="1" applyBorder="1"/>
    <xf numFmtId="0" fontId="2" fillId="0" borderId="17" xfId="0" applyFont="1" applyFill="1" applyBorder="1"/>
    <xf numFmtId="0" fontId="0" fillId="0" borderId="15" xfId="0" applyBorder="1"/>
    <xf numFmtId="165" fontId="0" fillId="0" borderId="16" xfId="1" applyNumberFormat="1" applyFont="1" applyBorder="1"/>
    <xf numFmtId="3" fontId="0" fillId="0" borderId="16" xfId="0" applyNumberFormat="1" applyBorder="1"/>
    <xf numFmtId="164" fontId="0" fillId="0" borderId="17" xfId="2" applyNumberFormat="1" applyFont="1" applyBorder="1"/>
    <xf numFmtId="0" fontId="4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3" fontId="11" fillId="0" borderId="0" xfId="3" applyNumberForma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9" fontId="4" fillId="0" borderId="0" xfId="2" applyFont="1"/>
    <xf numFmtId="3" fontId="12" fillId="0" borderId="0" xfId="3" applyNumberFormat="1" applyFont="1"/>
    <xf numFmtId="4" fontId="4" fillId="0" borderId="0" xfId="0" applyNumberFormat="1" applyFont="1"/>
    <xf numFmtId="166" fontId="0" fillId="0" borderId="0" xfId="0" applyNumberFormat="1"/>
    <xf numFmtId="3" fontId="2" fillId="0" borderId="6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7" xfId="0" applyNumberFormat="1" applyBorder="1" applyAlignment="1">
      <alignment horizontal="center" vertical="center" wrapText="1"/>
    </xf>
    <xf numFmtId="3" fontId="0" fillId="0" borderId="4" xfId="0" applyNumberFormat="1" applyFill="1" applyBorder="1"/>
    <xf numFmtId="3" fontId="0" fillId="0" borderId="5" xfId="0" applyNumberFormat="1" applyFill="1" applyBorder="1"/>
    <xf numFmtId="3" fontId="4" fillId="0" borderId="0" xfId="0" applyNumberFormat="1" applyFont="1" applyFill="1" applyBorder="1"/>
    <xf numFmtId="3" fontId="4" fillId="0" borderId="4" xfId="0" applyNumberFormat="1" applyFont="1" applyFill="1" applyBorder="1"/>
    <xf numFmtId="3" fontId="5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0" fillId="3" borderId="4" xfId="0" applyNumberFormat="1" applyFill="1" applyBorder="1"/>
    <xf numFmtId="3" fontId="0" fillId="3" borderId="5" xfId="0" applyNumberFormat="1" applyFill="1" applyBorder="1"/>
    <xf numFmtId="3" fontId="4" fillId="3" borderId="0" xfId="0" applyNumberFormat="1" applyFont="1" applyFill="1" applyBorder="1"/>
    <xf numFmtId="3" fontId="4" fillId="3" borderId="4" xfId="0" applyNumberFormat="1" applyFont="1" applyFill="1" applyBorder="1"/>
    <xf numFmtId="3" fontId="5" fillId="3" borderId="5" xfId="0" applyNumberFormat="1" applyFont="1" applyFill="1" applyBorder="1"/>
    <xf numFmtId="3" fontId="4" fillId="3" borderId="0" xfId="0" applyNumberFormat="1" applyFont="1" applyFill="1" applyBorder="1" applyAlignment="1">
      <alignment horizontal="center"/>
    </xf>
    <xf numFmtId="3" fontId="5" fillId="3" borderId="4" xfId="0" applyNumberFormat="1" applyFont="1" applyFill="1" applyBorder="1"/>
    <xf numFmtId="3" fontId="5" fillId="3" borderId="5" xfId="0" applyNumberFormat="1" applyFont="1" applyFill="1" applyBorder="1" applyAlignment="1">
      <alignment horizontal="center"/>
    </xf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3" fontId="4" fillId="3" borderId="13" xfId="0" applyNumberFormat="1" applyFont="1" applyFill="1" applyBorder="1"/>
    <xf numFmtId="3" fontId="11" fillId="3" borderId="0" xfId="3" applyNumberFormat="1" applyFill="1"/>
    <xf numFmtId="3" fontId="4" fillId="0" borderId="13" xfId="0" applyNumberFormat="1" applyFont="1" applyFill="1" applyBorder="1"/>
    <xf numFmtId="9" fontId="0" fillId="0" borderId="0" xfId="2" applyFont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165" fontId="2" fillId="2" borderId="0" xfId="0" applyNumberFormat="1" applyFont="1" applyFill="1" applyBorder="1"/>
    <xf numFmtId="3" fontId="2" fillId="2" borderId="0" xfId="0" applyNumberFormat="1" applyFont="1" applyFill="1" applyBorder="1"/>
    <xf numFmtId="0" fontId="2" fillId="2" borderId="5" xfId="0" applyFont="1" applyFill="1" applyBorder="1"/>
    <xf numFmtId="0" fontId="0" fillId="0" borderId="0" xfId="0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/>
    <xf numFmtId="165" fontId="0" fillId="0" borderId="7" xfId="0" applyNumberFormat="1" applyFont="1" applyFill="1" applyBorder="1"/>
    <xf numFmtId="165" fontId="0" fillId="0" borderId="7" xfId="1" applyNumberFormat="1" applyFont="1" applyBorder="1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8" xfId="1" applyNumberFormat="1" applyFont="1" applyBorder="1"/>
    <xf numFmtId="167" fontId="3" fillId="2" borderId="18" xfId="4" applyNumberFormat="1" applyFont="1" applyFill="1" applyBorder="1"/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21</xdr:row>
      <xdr:rowOff>88900</xdr:rowOff>
    </xdr:from>
    <xdr:to>
      <xdr:col>9</xdr:col>
      <xdr:colOff>571500</xdr:colOff>
      <xdr:row>21</xdr:row>
      <xdr:rowOff>107950</xdr:rowOff>
    </xdr:to>
    <xdr:cxnSp macro="">
      <xdr:nvCxnSpPr>
        <xdr:cNvPr id="5" name="Straight Connector 4"/>
        <xdr:cNvCxnSpPr/>
      </xdr:nvCxnSpPr>
      <xdr:spPr>
        <a:xfrm>
          <a:off x="12700" y="4819650"/>
          <a:ext cx="8401050" cy="19050"/>
        </a:xfrm>
        <a:prstGeom prst="line">
          <a:avLst/>
        </a:prstGeom>
        <a:ln w="508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sbelanger8@att.net" TargetMode="External"/><Relationship Id="rId13" Type="http://schemas.openxmlformats.org/officeDocument/2006/relationships/hyperlink" Target="mailto:sacnpac1239@gmail.com" TargetMode="External"/><Relationship Id="rId18" Type="http://schemas.openxmlformats.org/officeDocument/2006/relationships/hyperlink" Target="mailto:cjgavigan177@gmail.com" TargetMode="External"/><Relationship Id="rId26" Type="http://schemas.openxmlformats.org/officeDocument/2006/relationships/hyperlink" Target="mailto:lynette.jacobson54@gmail.com" TargetMode="External"/><Relationship Id="rId39" Type="http://schemas.openxmlformats.org/officeDocument/2006/relationships/hyperlink" Target="mailto:tjsaavedra@hotmail.com" TargetMode="External"/><Relationship Id="rId3" Type="http://schemas.openxmlformats.org/officeDocument/2006/relationships/hyperlink" Target="mailto:petvalhalla@sbcglobal.net" TargetMode="External"/><Relationship Id="rId21" Type="http://schemas.openxmlformats.org/officeDocument/2006/relationships/hyperlink" Target="mailto:thauch@wi.rr.com" TargetMode="External"/><Relationship Id="rId34" Type="http://schemas.openxmlformats.org/officeDocument/2006/relationships/hyperlink" Target="mailto:jbknclm@att.net" TargetMode="External"/><Relationship Id="rId42" Type="http://schemas.openxmlformats.org/officeDocument/2006/relationships/hyperlink" Target="mailto:mark.nancy1993@gmail.com" TargetMode="External"/><Relationship Id="rId7" Type="http://schemas.openxmlformats.org/officeDocument/2006/relationships/hyperlink" Target="mailto:carolann35@me.com" TargetMode="External"/><Relationship Id="rId12" Type="http://schemas.openxmlformats.org/officeDocument/2006/relationships/hyperlink" Target="mailto:chriscampbell1106@gmail.com" TargetMode="External"/><Relationship Id="rId17" Type="http://schemas.openxmlformats.org/officeDocument/2006/relationships/hyperlink" Target="mailto:conniegardner1@hotmail.com" TargetMode="External"/><Relationship Id="rId25" Type="http://schemas.openxmlformats.org/officeDocument/2006/relationships/hyperlink" Target="mailto:dubar@att.net" TargetMode="External"/><Relationship Id="rId33" Type="http://schemas.openxmlformats.org/officeDocument/2006/relationships/hyperlink" Target="mailto:mckennacolin59@gmail.com" TargetMode="External"/><Relationship Id="rId38" Type="http://schemas.openxmlformats.org/officeDocument/2006/relationships/hyperlink" Target="mailto:rpetrach@gmail.com" TargetMode="External"/><Relationship Id="rId2" Type="http://schemas.openxmlformats.org/officeDocument/2006/relationships/hyperlink" Target="mailto:kath131@wi.rr.com" TargetMode="External"/><Relationship Id="rId16" Type="http://schemas.openxmlformats.org/officeDocument/2006/relationships/hyperlink" Target="mailto:ericksoncarln@yahoo.com" TargetMode="External"/><Relationship Id="rId20" Type="http://schemas.openxmlformats.org/officeDocument/2006/relationships/hyperlink" Target="mailto:jhgilby_72@yahoo.com" TargetMode="External"/><Relationship Id="rId29" Type="http://schemas.openxmlformats.org/officeDocument/2006/relationships/hyperlink" Target="mailto:leazer@wi.rr.com" TargetMode="External"/><Relationship Id="rId41" Type="http://schemas.openxmlformats.org/officeDocument/2006/relationships/hyperlink" Target="mailto:fmstrudrawa@aol.com" TargetMode="External"/><Relationship Id="rId1" Type="http://schemas.openxmlformats.org/officeDocument/2006/relationships/hyperlink" Target="mailto:mmcorkdork@gmail.com" TargetMode="External"/><Relationship Id="rId6" Type="http://schemas.openxmlformats.org/officeDocument/2006/relationships/hyperlink" Target="mailto:abaumga08@yahoo.com" TargetMode="External"/><Relationship Id="rId11" Type="http://schemas.openxmlformats.org/officeDocument/2006/relationships/hyperlink" Target="mailto:dimae525@yahoo.com" TargetMode="External"/><Relationship Id="rId24" Type="http://schemas.openxmlformats.org/officeDocument/2006/relationships/hyperlink" Target="mailto:rholz1@wi.rr.com" TargetMode="External"/><Relationship Id="rId32" Type="http://schemas.openxmlformats.org/officeDocument/2006/relationships/hyperlink" Target="mailto:matthew3239@sbcglobal.net" TargetMode="External"/><Relationship Id="rId37" Type="http://schemas.openxmlformats.org/officeDocument/2006/relationships/hyperlink" Target="mailto:wmortensen@wi.rr.com" TargetMode="External"/><Relationship Id="rId40" Type="http://schemas.openxmlformats.org/officeDocument/2006/relationships/hyperlink" Target="mailto:tksheri1972@sbcglobal.net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mailto:jebaroot63@msn.com" TargetMode="External"/><Relationship Id="rId15" Type="http://schemas.openxmlformats.org/officeDocument/2006/relationships/hyperlink" Target="mailto:blerbe500@gmail.com" TargetMode="External"/><Relationship Id="rId23" Type="http://schemas.openxmlformats.org/officeDocument/2006/relationships/hyperlink" Target="mailto:ghholm2@aol.com" TargetMode="External"/><Relationship Id="rId28" Type="http://schemas.openxmlformats.org/officeDocument/2006/relationships/hyperlink" Target="mailto:jkiemen1942@gmail.com" TargetMode="External"/><Relationship Id="rId36" Type="http://schemas.openxmlformats.org/officeDocument/2006/relationships/hyperlink" Target="mailto:mitzymm@yahoo.com" TargetMode="External"/><Relationship Id="rId10" Type="http://schemas.openxmlformats.org/officeDocument/2006/relationships/hyperlink" Target="mailto:dalton6466@gmail.com" TargetMode="External"/><Relationship Id="rId19" Type="http://schemas.openxmlformats.org/officeDocument/2006/relationships/hyperlink" Target="mailto:sandra.georgeson@yahoo.com" TargetMode="External"/><Relationship Id="rId31" Type="http://schemas.openxmlformats.org/officeDocument/2006/relationships/hyperlink" Target="mailto:mary.ann.mantey@gmail.com" TargetMode="External"/><Relationship Id="rId44" Type="http://schemas.openxmlformats.org/officeDocument/2006/relationships/hyperlink" Target="mailto:jeffwunderle@yahoo.com" TargetMode="External"/><Relationship Id="rId4" Type="http://schemas.openxmlformats.org/officeDocument/2006/relationships/hyperlink" Target="mailto:davebackmann@gmail.com" TargetMode="External"/><Relationship Id="rId9" Type="http://schemas.openxmlformats.org/officeDocument/2006/relationships/hyperlink" Target="mailto:beanzy25@gmail.com" TargetMode="External"/><Relationship Id="rId14" Type="http://schemas.openxmlformats.org/officeDocument/2006/relationships/hyperlink" Target="mailto:ldoe@wi.rr.com" TargetMode="External"/><Relationship Id="rId22" Type="http://schemas.openxmlformats.org/officeDocument/2006/relationships/hyperlink" Target="mailto:jchewitt1943@gmail.com" TargetMode="External"/><Relationship Id="rId27" Type="http://schemas.openxmlformats.org/officeDocument/2006/relationships/hyperlink" Target="mailto:dmj7140@gmail.com" TargetMode="External"/><Relationship Id="rId30" Type="http://schemas.openxmlformats.org/officeDocument/2006/relationships/hyperlink" Target="mailto:esmalik@msn.com" TargetMode="External"/><Relationship Id="rId35" Type="http://schemas.openxmlformats.org/officeDocument/2006/relationships/hyperlink" Target="mailto:juliesptflowers@att.net" TargetMode="External"/><Relationship Id="rId43" Type="http://schemas.openxmlformats.org/officeDocument/2006/relationships/hyperlink" Target="mailto:ladw@sbcglobal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>
      <selection activeCell="C12" sqref="C12"/>
    </sheetView>
  </sheetViews>
  <sheetFormatPr defaultRowHeight="14.5" x14ac:dyDescent="0.35"/>
  <cols>
    <col min="1" max="1" width="27.6328125" customWidth="1"/>
    <col min="2" max="2" width="9.81640625" customWidth="1"/>
    <col min="3" max="4" width="10.1796875" customWidth="1"/>
    <col min="5" max="5" width="9.6328125" customWidth="1"/>
    <col min="7" max="7" width="14.453125" customWidth="1"/>
    <col min="8" max="8" width="9.36328125" customWidth="1"/>
    <col min="9" max="9" width="10" customWidth="1"/>
  </cols>
  <sheetData>
    <row r="1" spans="1:8" ht="15" thickBot="1" x14ac:dyDescent="0.4"/>
    <row r="2" spans="1:8" ht="18.5" x14ac:dyDescent="0.45">
      <c r="A2" s="131" t="s">
        <v>546</v>
      </c>
      <c r="B2" s="132"/>
      <c r="C2" s="132"/>
      <c r="D2" s="132"/>
      <c r="E2" s="132"/>
      <c r="F2" s="132"/>
      <c r="G2" s="132"/>
      <c r="H2" s="133"/>
    </row>
    <row r="3" spans="1:8" x14ac:dyDescent="0.35">
      <c r="A3" s="2"/>
      <c r="B3" s="12" t="s">
        <v>548</v>
      </c>
      <c r="C3" s="12" t="s">
        <v>7</v>
      </c>
      <c r="D3" s="41" t="s">
        <v>543</v>
      </c>
      <c r="E3" s="3"/>
      <c r="F3" s="3"/>
      <c r="G3" s="3"/>
      <c r="H3" s="6"/>
    </row>
    <row r="4" spans="1:8" x14ac:dyDescent="0.35">
      <c r="A4" s="2" t="s">
        <v>66</v>
      </c>
      <c r="B4" s="18">
        <f>COUNTIF(Data!L$4:L211,"S")</f>
        <v>38</v>
      </c>
      <c r="C4" s="65">
        <f>SUMIF(Data!L$4:L211,"S",Data!J$4:J211)</f>
        <v>84483.75</v>
      </c>
      <c r="D4" s="115">
        <f>+C4/C$9</f>
        <v>0.21465798976684802</v>
      </c>
      <c r="E4" s="3" t="s">
        <v>63</v>
      </c>
      <c r="F4" s="3"/>
      <c r="G4" s="3"/>
      <c r="H4" s="6"/>
    </row>
    <row r="5" spans="1:8" x14ac:dyDescent="0.35">
      <c r="A5" s="2" t="s">
        <v>67</v>
      </c>
      <c r="B5" s="18">
        <f>COUNTIF(Data!L$4:L211,"I")</f>
        <v>37</v>
      </c>
      <c r="C5" s="65">
        <f>SUMIF(Data!L$4:L211,"I",Data!J$4:J211)</f>
        <v>102115</v>
      </c>
      <c r="D5" s="115">
        <f>+C5/C$9</f>
        <v>0.25945581990668837</v>
      </c>
      <c r="E5" s="3" t="str">
        <f>+"Increased pledge from 2022 (increase = $"&amp;ROUND(SUMIF(Data!L$4:L211,"I",Data!K$4:K211),0)&amp;")"</f>
        <v>Increased pledge from 2022 (increase = $8323)</v>
      </c>
      <c r="F5" s="3"/>
      <c r="G5" s="3"/>
      <c r="H5" s="6"/>
    </row>
    <row r="6" spans="1:8" x14ac:dyDescent="0.35">
      <c r="A6" s="2" t="s">
        <v>68</v>
      </c>
      <c r="B6" s="18">
        <f>COUNTIF(Data!L$4:L211,"N")</f>
        <v>12</v>
      </c>
      <c r="C6" s="65">
        <f>SUMIF(Data!L$4:L211,"N",Data!J$4:J211)</f>
        <v>24290</v>
      </c>
      <c r="D6" s="115">
        <f>+C6/C$9</f>
        <v>6.1716514376276364E-2</v>
      </c>
      <c r="E6" s="3" t="s">
        <v>62</v>
      </c>
      <c r="F6" s="3"/>
      <c r="G6" s="3"/>
      <c r="H6" s="6"/>
    </row>
    <row r="7" spans="1:8" x14ac:dyDescent="0.35">
      <c r="A7" s="2" t="s">
        <v>69</v>
      </c>
      <c r="B7" s="18">
        <f>COUNTIF(Data!L$4:L211,"D")</f>
        <v>16</v>
      </c>
      <c r="C7" s="65">
        <f>SUMIF(Data!L$4:L211,"D",Data!J$4:J211)</f>
        <v>95815</v>
      </c>
      <c r="D7" s="115">
        <f>+C7/C$9</f>
        <v>0.24344865479468589</v>
      </c>
      <c r="E7" s="3" t="str">
        <f>+"Decreased pledge from 2022 (decrease = $"&amp;ABS(ROUND(SUMIF(Data!L$4:L211,"D",Data!K$4:K211),0))&amp;")"</f>
        <v>Decreased pledge from 2022 (decrease = $31461)</v>
      </c>
      <c r="F7" s="3"/>
      <c r="G7" s="3"/>
      <c r="H7" s="6"/>
    </row>
    <row r="8" spans="1:8" x14ac:dyDescent="0.35">
      <c r="A8" s="2" t="s">
        <v>539</v>
      </c>
      <c r="B8" s="63">
        <f>COUNTIF(Data!L$4:L211,"X")+COUNTIF(Data!L$4:L211,"E")</f>
        <v>46</v>
      </c>
      <c r="C8" s="65">
        <f>SUMIF(Data!L$4:L211,"X",Data!I$4:I211)+SUMIF(Data!L$4:L211,"E",Data!I$4:I211)</f>
        <v>86870</v>
      </c>
      <c r="D8" s="115">
        <f>+C8/C$9</f>
        <v>0.22072102115550135</v>
      </c>
      <c r="E8" s="3"/>
      <c r="F8" s="3"/>
      <c r="G8" s="3"/>
      <c r="H8" s="6"/>
    </row>
    <row r="9" spans="1:8" ht="15" thickBot="1" x14ac:dyDescent="0.4">
      <c r="A9" s="9" t="s">
        <v>64</v>
      </c>
      <c r="B9" s="67">
        <f>SUM(B4:B8)</f>
        <v>149</v>
      </c>
      <c r="C9" s="68">
        <f>SUM(C4:C8)</f>
        <v>393573.75</v>
      </c>
      <c r="D9" s="116">
        <f>SUM(D4:D8)</f>
        <v>1</v>
      </c>
      <c r="E9" s="31"/>
      <c r="F9" s="31"/>
      <c r="G9" s="31"/>
      <c r="H9" s="32"/>
    </row>
    <row r="10" spans="1:8" ht="15" thickBot="1" x14ac:dyDescent="0.4"/>
    <row r="11" spans="1:8" x14ac:dyDescent="0.35">
      <c r="A11" s="125"/>
      <c r="B11" s="126">
        <v>2021</v>
      </c>
      <c r="C11" s="126">
        <v>2022</v>
      </c>
      <c r="D11" s="127">
        <v>2023</v>
      </c>
    </row>
    <row r="12" spans="1:8" x14ac:dyDescent="0.35">
      <c r="A12" s="2" t="s">
        <v>2</v>
      </c>
      <c r="B12" s="120">
        <f>COUNTIF(Data!C$4:C211,"&gt;0")</f>
        <v>189</v>
      </c>
      <c r="C12" s="63">
        <f>COUNTIF(Data!D$4:D211,"&gt;0")+18</f>
        <v>131</v>
      </c>
      <c r="D12" s="121">
        <f>+B9</f>
        <v>149</v>
      </c>
    </row>
    <row r="13" spans="1:8" ht="15" thickBot="1" x14ac:dyDescent="0.4">
      <c r="A13" s="122" t="s">
        <v>545</v>
      </c>
      <c r="B13" s="123">
        <f>+Data!C212</f>
        <v>452163.64</v>
      </c>
      <c r="C13" s="124">
        <f>+Data!D212+84102</f>
        <v>453999.8</v>
      </c>
      <c r="D13" s="128">
        <f>+C9</f>
        <v>393573.75</v>
      </c>
    </row>
    <row r="14" spans="1:8" ht="15" thickBot="1" x14ac:dyDescent="0.4"/>
    <row r="15" spans="1:8" ht="15" thickBot="1" x14ac:dyDescent="0.4">
      <c r="C15" s="130" t="s">
        <v>547</v>
      </c>
      <c r="D15" s="129">
        <v>400000</v>
      </c>
      <c r="E15" t="s">
        <v>549</v>
      </c>
    </row>
  </sheetData>
  <mergeCells count="1">
    <mergeCell ref="A2:H2"/>
  </mergeCells>
  <pageMargins left="0.7" right="0.7" top="0.5" bottom="0.5" header="0.3" footer="0.3"/>
  <pageSetup orientation="landscape" horizontalDpi="0" verticalDpi="0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4"/>
  <sheetViews>
    <sheetView tabSelected="1" topLeftCell="A2" workbookViewId="0">
      <pane xSplit="2" ySplit="2" topLeftCell="C139" activePane="bottomRight" state="frozen"/>
      <selection activeCell="A2" sqref="A2"/>
      <selection pane="topRight" activeCell="C2" sqref="C2"/>
      <selection pane="bottomLeft" activeCell="A4" sqref="A4"/>
      <selection pane="bottomRight" activeCell="A151" sqref="A151"/>
    </sheetView>
  </sheetViews>
  <sheetFormatPr defaultRowHeight="14.5" x14ac:dyDescent="0.35"/>
  <cols>
    <col min="1" max="1" width="14.453125" style="1" customWidth="1"/>
    <col min="2" max="2" width="18.36328125" style="1" customWidth="1"/>
    <col min="3" max="12" width="8.7265625" style="1"/>
    <col min="13" max="13" width="27.54296875" style="73" customWidth="1"/>
    <col min="14" max="14" width="28.6328125" style="73" customWidth="1"/>
    <col min="15" max="15" width="15" style="73" customWidth="1"/>
    <col min="16" max="16" width="6.36328125" style="74" customWidth="1"/>
    <col min="17" max="17" width="11" style="75" customWidth="1"/>
    <col min="18" max="16384" width="8.7265625" style="1"/>
  </cols>
  <sheetData>
    <row r="1" spans="1:17" ht="24" thickBot="1" x14ac:dyDescent="0.6">
      <c r="A1" s="137" t="s">
        <v>378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7" ht="15" thickBot="1" x14ac:dyDescent="0.4">
      <c r="A2" s="140" t="s">
        <v>2</v>
      </c>
      <c r="B2" s="141"/>
      <c r="C2" s="138" t="s">
        <v>3</v>
      </c>
      <c r="D2" s="144">
        <v>2022</v>
      </c>
      <c r="E2" s="145"/>
      <c r="F2" s="146"/>
      <c r="G2" s="144">
        <v>2023</v>
      </c>
      <c r="H2" s="145"/>
      <c r="I2" s="145"/>
      <c r="J2" s="146"/>
      <c r="K2" s="142" t="s">
        <v>6</v>
      </c>
      <c r="L2" s="143"/>
      <c r="M2" s="134" t="s">
        <v>410</v>
      </c>
      <c r="N2" s="135"/>
      <c r="O2" s="135"/>
      <c r="P2" s="135"/>
      <c r="Q2" s="136"/>
    </row>
    <row r="3" spans="1:17" s="89" customFormat="1" ht="29.5" thickBot="1" x14ac:dyDescent="0.4">
      <c r="A3" s="80" t="s">
        <v>0</v>
      </c>
      <c r="B3" s="81" t="s">
        <v>1</v>
      </c>
      <c r="C3" s="139"/>
      <c r="D3" s="82" t="s">
        <v>4</v>
      </c>
      <c r="E3" s="83" t="s">
        <v>5</v>
      </c>
      <c r="F3" s="84" t="s">
        <v>50</v>
      </c>
      <c r="G3" s="82" t="s">
        <v>4</v>
      </c>
      <c r="H3" s="83" t="s">
        <v>10</v>
      </c>
      <c r="I3" s="90" t="s">
        <v>531</v>
      </c>
      <c r="J3" s="85" t="s">
        <v>530</v>
      </c>
      <c r="K3" s="82" t="s">
        <v>7</v>
      </c>
      <c r="L3" s="84" t="s">
        <v>11</v>
      </c>
      <c r="M3" s="86" t="s">
        <v>409</v>
      </c>
      <c r="N3" s="87" t="s">
        <v>411</v>
      </c>
      <c r="O3" s="87" t="s">
        <v>412</v>
      </c>
      <c r="P3" s="87" t="s">
        <v>413</v>
      </c>
      <c r="Q3" s="88" t="s">
        <v>414</v>
      </c>
    </row>
    <row r="4" spans="1:17" x14ac:dyDescent="0.35">
      <c r="A4" s="30" t="s">
        <v>8</v>
      </c>
      <c r="B4" s="4" t="s">
        <v>9</v>
      </c>
      <c r="C4" s="13">
        <v>624</v>
      </c>
      <c r="D4" s="22">
        <v>624</v>
      </c>
      <c r="E4" s="13">
        <v>456</v>
      </c>
      <c r="F4" s="29">
        <f t="shared" ref="F4:F68" si="0">IF(D4=0,E4,IF(AND(E4=0,H4="A"),D4,IF(E4&gt;D4,E4, IF(E4/D4&gt;0.73,D4,E4))))</f>
        <v>624</v>
      </c>
      <c r="G4" s="22">
        <v>24</v>
      </c>
      <c r="H4" s="28" t="s">
        <v>49</v>
      </c>
      <c r="I4" s="13"/>
      <c r="J4" s="29">
        <f>IF(G4="",0,IF(I4&gt;0,I4,IF(H4="A",G4,IF(H4="M",G4*12,IF(H4="W",G4*Lookups!B$9,IF(H4="B",G4*+Lookups!B$10,IF(H4="S",G4*2,IF(AND(G4=0,I4&gt;0),I4,"ERROR"))))))))</f>
        <v>624</v>
      </c>
      <c r="K4" s="26">
        <f t="shared" ref="K4:K22" si="1">IF(AND(J4=0,D4=0),"",IF(I4&gt;0,"",ROUND(+J4-D4,0)))</f>
        <v>0</v>
      </c>
      <c r="L4" s="27" t="str">
        <f t="shared" ref="L4:L52" si="2">IF(AND(I4&gt;0,D4=0,G4=0),"X",IF(AND(I4&gt;0,D4&gt;0),"E",IF(K4="","",IF(K4=0,"S",IF(AND(K4&gt;0,NOT(D4=0)),"I",IF(AND(K4&gt;0,D4=0),"N",IF(K4&lt;0,"D","ERROR")))))))</f>
        <v>S</v>
      </c>
      <c r="N4" s="76"/>
    </row>
    <row r="5" spans="1:17" x14ac:dyDescent="0.35">
      <c r="A5" s="30" t="s">
        <v>247</v>
      </c>
      <c r="B5" s="4" t="s">
        <v>248</v>
      </c>
      <c r="C5" s="13">
        <v>100</v>
      </c>
      <c r="D5" s="22"/>
      <c r="E5" s="13">
        <v>40</v>
      </c>
      <c r="F5" s="29">
        <f t="shared" si="0"/>
        <v>40</v>
      </c>
      <c r="G5" s="22"/>
      <c r="H5" s="28"/>
      <c r="I5" s="13"/>
      <c r="J5" s="29">
        <f>IF(G5="",0,IF(I5&gt;0,I5,IF(H5="A",G5,IF(H5="M",G5*12,IF(H5="W",G5*Lookups!B$9,IF(H5="B",G5*+Lookups!B$10,IF(H5="S",G5*2,IF(AND(G5=0,I5&gt;0),I5,"ERROR"))))))))</f>
        <v>0</v>
      </c>
      <c r="K5" s="26" t="str">
        <f t="shared" si="1"/>
        <v/>
      </c>
      <c r="L5" s="27" t="str">
        <f t="shared" si="2"/>
        <v/>
      </c>
    </row>
    <row r="6" spans="1:17" x14ac:dyDescent="0.35">
      <c r="A6" s="101" t="s">
        <v>247</v>
      </c>
      <c r="B6" s="102" t="s">
        <v>249</v>
      </c>
      <c r="C6" s="103">
        <v>2120</v>
      </c>
      <c r="D6" s="104"/>
      <c r="E6" s="103">
        <v>1560</v>
      </c>
      <c r="F6" s="105">
        <f t="shared" si="0"/>
        <v>1560</v>
      </c>
      <c r="G6" s="104"/>
      <c r="H6" s="106"/>
      <c r="I6" s="103"/>
      <c r="J6" s="105">
        <f>IF(G6="",0,IF(I6&gt;0,I6,IF(H6="A",G6,IF(H6="M",G6*12,IF(H6="W",G6*Lookups!B$9,IF(H6="B",G6*+Lookups!B$10,IF(H6="S",G6*2,IF(AND(G6=0,I6&gt;0),I6,"ERROR"))))))))</f>
        <v>0</v>
      </c>
      <c r="K6" s="107" t="str">
        <f t="shared" si="1"/>
        <v/>
      </c>
      <c r="L6" s="108" t="str">
        <f t="shared" si="2"/>
        <v/>
      </c>
      <c r="M6" s="109" t="s">
        <v>544</v>
      </c>
      <c r="N6" s="109"/>
      <c r="O6" s="109"/>
      <c r="P6" s="110"/>
      <c r="Q6" s="111"/>
    </row>
    <row r="7" spans="1:17" x14ac:dyDescent="0.35">
      <c r="A7" s="30" t="s">
        <v>247</v>
      </c>
      <c r="B7" s="4" t="s">
        <v>250</v>
      </c>
      <c r="C7" s="13">
        <v>6500</v>
      </c>
      <c r="D7" s="22"/>
      <c r="E7" s="13">
        <v>5400</v>
      </c>
      <c r="F7" s="29">
        <f t="shared" si="0"/>
        <v>5400</v>
      </c>
      <c r="G7" s="22"/>
      <c r="H7" s="28"/>
      <c r="I7" s="13">
        <v>5400</v>
      </c>
      <c r="J7" s="29">
        <f>IF(G7="",0,IF(I7&gt;0,I7,IF(H7="A",G7,IF(H7="M",G7*12,IF(H7="W",G7*Lookups!B$9,IF(H7="B",G7*+Lookups!B$10,IF(H7="S",G7*2,IF(AND(G7=0,I7&gt;0),I7,"ERROR"))))))))</f>
        <v>0</v>
      </c>
      <c r="K7" s="26" t="str">
        <f t="shared" si="1"/>
        <v/>
      </c>
      <c r="L7" s="27" t="str">
        <f t="shared" si="2"/>
        <v>X</v>
      </c>
    </row>
    <row r="8" spans="1:17" x14ac:dyDescent="0.35">
      <c r="A8" s="30" t="s">
        <v>12</v>
      </c>
      <c r="B8" s="4" t="s">
        <v>13</v>
      </c>
      <c r="C8" s="13">
        <v>1400</v>
      </c>
      <c r="D8" s="22">
        <v>1540</v>
      </c>
      <c r="E8" s="13">
        <v>725</v>
      </c>
      <c r="F8" s="29">
        <f t="shared" si="0"/>
        <v>725</v>
      </c>
      <c r="G8" s="22">
        <v>1500</v>
      </c>
      <c r="H8" s="28" t="s">
        <v>43</v>
      </c>
      <c r="I8" s="13"/>
      <c r="J8" s="29">
        <f>IF(G8="",0,IF(I8&gt;0,I8,IF(H8="A",G8,IF(H8="M",G8*12,IF(H8="W",G8*Lookups!B$9,IF(H8="B",G8*+Lookups!B$10,IF(H8="S",G8*2,IF(AND(G8=0,I8&gt;0),I8,"ERROR"))))))))</f>
        <v>1500</v>
      </c>
      <c r="K8" s="26">
        <f t="shared" si="1"/>
        <v>-40</v>
      </c>
      <c r="L8" s="27" t="str">
        <f t="shared" si="2"/>
        <v>D</v>
      </c>
      <c r="M8" s="72" t="s">
        <v>422</v>
      </c>
      <c r="N8" s="73" t="s">
        <v>421</v>
      </c>
      <c r="O8" s="73" t="s">
        <v>423</v>
      </c>
      <c r="P8" s="74" t="s">
        <v>418</v>
      </c>
      <c r="Q8" s="75">
        <v>53126</v>
      </c>
    </row>
    <row r="9" spans="1:17" x14ac:dyDescent="0.35">
      <c r="A9" s="30" t="s">
        <v>12</v>
      </c>
      <c r="B9" s="4" t="s">
        <v>251</v>
      </c>
      <c r="C9" s="13">
        <v>2000</v>
      </c>
      <c r="D9" s="22"/>
      <c r="E9" s="13">
        <v>3000</v>
      </c>
      <c r="F9" s="29">
        <f t="shared" si="0"/>
        <v>3000</v>
      </c>
      <c r="G9" s="22"/>
      <c r="H9" s="28"/>
      <c r="I9" s="13">
        <v>3000</v>
      </c>
      <c r="J9" s="29">
        <f>IF(G9="",0,IF(I9&gt;0,I9,IF(H9="A",G9,IF(H9="M",G9*12,IF(H9="W",G9*Lookups!B$9,IF(H9="B",G9*+Lookups!B$10,IF(H9="S",G9*2,IF(AND(G9=0,I9&gt;0),I9,"ERROR"))))))))</f>
        <v>0</v>
      </c>
      <c r="K9" s="26" t="str">
        <f t="shared" si="1"/>
        <v/>
      </c>
      <c r="L9" s="27" t="str">
        <f t="shared" si="2"/>
        <v>X</v>
      </c>
    </row>
    <row r="10" spans="1:17" x14ac:dyDescent="0.35">
      <c r="A10" s="30" t="s">
        <v>70</v>
      </c>
      <c r="B10" s="4" t="s">
        <v>71</v>
      </c>
      <c r="C10" s="13">
        <v>900</v>
      </c>
      <c r="D10" s="22">
        <v>1200</v>
      </c>
      <c r="E10" s="13">
        <v>700</v>
      </c>
      <c r="F10" s="29">
        <f t="shared" si="0"/>
        <v>700</v>
      </c>
      <c r="G10" s="22">
        <v>100</v>
      </c>
      <c r="H10" s="28" t="s">
        <v>47</v>
      </c>
      <c r="I10" s="13"/>
      <c r="J10" s="29">
        <f>IF(G10="",0,IF(I10&gt;0,I10,IF(H10="A",G10,IF(H10="M",G10*12,IF(H10="W",G10*Lookups!B$9,IF(H10="B",G10*+Lookups!B$10,IF(H10="S",G10*2,IF(AND(G10=0,I10&gt;0),I10,"ERROR"))))))))</f>
        <v>1200</v>
      </c>
      <c r="K10" s="26">
        <f t="shared" si="1"/>
        <v>0</v>
      </c>
      <c r="L10" s="27" t="str">
        <f t="shared" si="2"/>
        <v>S</v>
      </c>
      <c r="M10" s="72" t="s">
        <v>420</v>
      </c>
      <c r="N10" s="73" t="s">
        <v>419</v>
      </c>
      <c r="O10" s="73" t="s">
        <v>417</v>
      </c>
      <c r="P10" s="74" t="s">
        <v>418</v>
      </c>
      <c r="Q10" s="75">
        <v>53406</v>
      </c>
    </row>
    <row r="11" spans="1:17" x14ac:dyDescent="0.35">
      <c r="A11" s="30" t="s">
        <v>14</v>
      </c>
      <c r="B11" s="4" t="s">
        <v>74</v>
      </c>
      <c r="C11" s="13">
        <v>1300</v>
      </c>
      <c r="D11" s="22">
        <v>1350</v>
      </c>
      <c r="E11" s="13">
        <v>0</v>
      </c>
      <c r="F11" s="29">
        <f t="shared" si="0"/>
        <v>1350</v>
      </c>
      <c r="G11" s="22">
        <v>1350</v>
      </c>
      <c r="H11" s="28" t="s">
        <v>43</v>
      </c>
      <c r="I11" s="13"/>
      <c r="J11" s="29">
        <f>IF(G11="",0,IF(I11&gt;0,I11,IF(H11="A",G11,IF(H11="M",G11*12,IF(H11="W",G11*Lookups!B$9,IF(H11="B",G11*+Lookups!B$10,IF(H11="S",G11*2,IF(AND(G11=0,I11&gt;0),I11,"ERROR"))))))))</f>
        <v>1350</v>
      </c>
      <c r="K11" s="26">
        <f t="shared" si="1"/>
        <v>0</v>
      </c>
      <c r="L11" s="27" t="str">
        <f t="shared" si="2"/>
        <v>S</v>
      </c>
    </row>
    <row r="12" spans="1:17" x14ac:dyDescent="0.35">
      <c r="A12" s="30" t="s">
        <v>15</v>
      </c>
      <c r="B12" s="4" t="s">
        <v>16</v>
      </c>
      <c r="C12" s="13">
        <v>1800</v>
      </c>
      <c r="D12" s="22">
        <v>2100</v>
      </c>
      <c r="E12" s="13">
        <v>1575</v>
      </c>
      <c r="F12" s="29">
        <f t="shared" si="0"/>
        <v>2100</v>
      </c>
      <c r="G12" s="22">
        <v>175</v>
      </c>
      <c r="H12" s="28" t="s">
        <v>47</v>
      </c>
      <c r="I12" s="13"/>
      <c r="J12" s="29">
        <f>IF(G12="",0,IF(I12&gt;0,I12,IF(H12="A",G12,IF(H12="M",G12*12,IF(H12="W",G12*Lookups!B$9,IF(H12="B",G12*+Lookups!B$10,IF(H12="S",G12*2,IF(AND(G12=0,I12&gt;0),I12,"ERROR"))))))))</f>
        <v>2100</v>
      </c>
      <c r="K12" s="26">
        <f t="shared" si="1"/>
        <v>0</v>
      </c>
      <c r="L12" s="27" t="str">
        <f t="shared" si="2"/>
        <v>S</v>
      </c>
      <c r="M12" s="72" t="s">
        <v>424</v>
      </c>
      <c r="N12" s="73" t="s">
        <v>425</v>
      </c>
      <c r="O12" s="73" t="s">
        <v>417</v>
      </c>
      <c r="P12" s="74" t="s">
        <v>418</v>
      </c>
      <c r="Q12" s="75">
        <v>53405</v>
      </c>
    </row>
    <row r="13" spans="1:17" x14ac:dyDescent="0.35">
      <c r="A13" s="30" t="s">
        <v>72</v>
      </c>
      <c r="B13" s="4" t="s">
        <v>73</v>
      </c>
      <c r="C13" s="13">
        <v>1200</v>
      </c>
      <c r="D13" s="22">
        <v>1200</v>
      </c>
      <c r="E13" s="13">
        <v>900</v>
      </c>
      <c r="F13" s="29">
        <f t="shared" si="0"/>
        <v>1200</v>
      </c>
      <c r="G13" s="22">
        <v>100</v>
      </c>
      <c r="H13" s="28" t="s">
        <v>47</v>
      </c>
      <c r="I13" s="13"/>
      <c r="J13" s="29">
        <f>IF(G13="",0,IF(I13&gt;0,I13,IF(H13="A",G13,IF(H13="M",G13*12,IF(H13="W",G13*Lookups!B$9,IF(H13="B",G13*+Lookups!B$10,IF(H13="S",G13*2,IF(AND(G13=0,I13&gt;0),I13,"ERROR"))))))))</f>
        <v>1200</v>
      </c>
      <c r="K13" s="26">
        <f t="shared" si="1"/>
        <v>0</v>
      </c>
      <c r="L13" s="27" t="str">
        <f t="shared" si="2"/>
        <v>S</v>
      </c>
    </row>
    <row r="14" spans="1:17" x14ac:dyDescent="0.35">
      <c r="A14" s="30" t="s">
        <v>252</v>
      </c>
      <c r="B14" s="4" t="s">
        <v>253</v>
      </c>
      <c r="C14" s="13">
        <v>470</v>
      </c>
      <c r="D14" s="22"/>
      <c r="E14" s="13">
        <v>150</v>
      </c>
      <c r="F14" s="29">
        <f t="shared" si="0"/>
        <v>150</v>
      </c>
      <c r="G14" s="22">
        <v>50</v>
      </c>
      <c r="H14" s="28" t="s">
        <v>47</v>
      </c>
      <c r="I14" s="13"/>
      <c r="J14" s="29">
        <f>IF(G14="",0,IF(I14&gt;0,I14,IF(H14="A",G14,IF(H14="M",G14*12,IF(H14="W",G14*Lookups!B$9,IF(H14="B",G14*+Lookups!B$10,IF(H14="S",G14*2,IF(AND(G14=0,I14&gt;0),I14,"ERROR"))))))))</f>
        <v>600</v>
      </c>
      <c r="K14" s="26">
        <f t="shared" si="1"/>
        <v>600</v>
      </c>
      <c r="L14" s="27" t="str">
        <f t="shared" si="2"/>
        <v>N</v>
      </c>
      <c r="M14" s="72" t="s">
        <v>426</v>
      </c>
      <c r="N14" s="73" t="s">
        <v>427</v>
      </c>
      <c r="O14" s="73" t="s">
        <v>417</v>
      </c>
      <c r="P14" s="74" t="s">
        <v>418</v>
      </c>
      <c r="Q14" s="75">
        <v>53406</v>
      </c>
    </row>
    <row r="15" spans="1:17" x14ac:dyDescent="0.35">
      <c r="A15" s="30" t="s">
        <v>17</v>
      </c>
      <c r="B15" s="4" t="s">
        <v>18</v>
      </c>
      <c r="C15" s="13"/>
      <c r="D15" s="22">
        <v>400</v>
      </c>
      <c r="E15" s="13">
        <v>60</v>
      </c>
      <c r="F15" s="29">
        <f t="shared" si="0"/>
        <v>60</v>
      </c>
      <c r="G15" s="22">
        <v>300</v>
      </c>
      <c r="H15" s="28" t="s">
        <v>43</v>
      </c>
      <c r="I15" s="13"/>
      <c r="J15" s="29">
        <f>IF(G15="",0,IF(I15&gt;0,I15,IF(H15="A",G15,IF(H15="M",G15*12,IF(H15="W",G15*Lookups!B$9,IF(H15="B",G15*+Lookups!B$10,IF(H15="S",G15*2,IF(AND(G15=0,I15&gt;0),I15,"ERROR"))))))))</f>
        <v>300</v>
      </c>
      <c r="K15" s="26">
        <f t="shared" si="1"/>
        <v>-100</v>
      </c>
      <c r="L15" s="27" t="str">
        <f t="shared" si="2"/>
        <v>D</v>
      </c>
    </row>
    <row r="16" spans="1:17" x14ac:dyDescent="0.35">
      <c r="A16" s="30" t="s">
        <v>19</v>
      </c>
      <c r="B16" s="4" t="s">
        <v>20</v>
      </c>
      <c r="C16" s="13">
        <v>3900</v>
      </c>
      <c r="D16" s="22">
        <v>4200</v>
      </c>
      <c r="E16" s="13">
        <v>3250</v>
      </c>
      <c r="F16" s="29">
        <f t="shared" si="0"/>
        <v>4200</v>
      </c>
      <c r="G16" s="22">
        <v>350</v>
      </c>
      <c r="H16" s="28" t="s">
        <v>47</v>
      </c>
      <c r="I16" s="13"/>
      <c r="J16" s="29">
        <f>IF(G16="",0,IF(I16&gt;0,I16,IF(H16="A",G16,IF(H16="M",G16*12,IF(H16="W",G16*Lookups!B$9,IF(H16="B",G16*+Lookups!B$10,IF(H16="S",G16*2,IF(AND(G16=0,I16&gt;0),I16,"ERROR"))))))))</f>
        <v>4200</v>
      </c>
      <c r="K16" s="26">
        <f t="shared" si="1"/>
        <v>0</v>
      </c>
      <c r="L16" s="27" t="str">
        <f t="shared" si="2"/>
        <v>S</v>
      </c>
      <c r="M16" s="72" t="s">
        <v>428</v>
      </c>
      <c r="N16" s="73" t="s">
        <v>429</v>
      </c>
      <c r="O16" s="73" t="s">
        <v>417</v>
      </c>
      <c r="P16" s="74" t="s">
        <v>418</v>
      </c>
      <c r="Q16" s="75">
        <v>53406</v>
      </c>
    </row>
    <row r="17" spans="1:18" x14ac:dyDescent="0.35">
      <c r="A17" s="30" t="s">
        <v>430</v>
      </c>
      <c r="B17" s="4" t="s">
        <v>22</v>
      </c>
      <c r="C17" s="13">
        <v>7280</v>
      </c>
      <c r="D17" s="22">
        <v>7280</v>
      </c>
      <c r="E17" s="13">
        <v>5460</v>
      </c>
      <c r="F17" s="29">
        <f t="shared" si="0"/>
        <v>7280</v>
      </c>
      <c r="G17" s="22">
        <v>750</v>
      </c>
      <c r="H17" s="28" t="s">
        <v>47</v>
      </c>
      <c r="I17" s="13"/>
      <c r="J17" s="29">
        <f>IF(G17="",0,IF(I17&gt;0,I17,IF(H17="A",G17,IF(H17="M",G17*12,IF(H17="W",G17*Lookups!B$9,IF(H17="B",G17*+Lookups!B$10,IF(H17="S",G17*2,IF(AND(G17=0,I17&gt;0),I17,"ERROR"))))))))</f>
        <v>9000</v>
      </c>
      <c r="K17" s="26">
        <f t="shared" si="1"/>
        <v>1720</v>
      </c>
      <c r="L17" s="27" t="str">
        <f t="shared" si="2"/>
        <v>I</v>
      </c>
      <c r="M17" s="72" t="s">
        <v>431</v>
      </c>
      <c r="N17" s="73" t="s">
        <v>432</v>
      </c>
      <c r="O17" s="73" t="s">
        <v>423</v>
      </c>
      <c r="P17" s="74" t="s">
        <v>418</v>
      </c>
      <c r="Q17" s="75">
        <v>53126</v>
      </c>
    </row>
    <row r="18" spans="1:18" x14ac:dyDescent="0.35">
      <c r="A18" s="30" t="s">
        <v>21</v>
      </c>
      <c r="B18" s="4" t="s">
        <v>254</v>
      </c>
      <c r="C18" s="13">
        <v>4565</v>
      </c>
      <c r="D18" s="22"/>
      <c r="E18" s="13">
        <v>2710</v>
      </c>
      <c r="F18" s="29">
        <f t="shared" si="0"/>
        <v>2710</v>
      </c>
      <c r="G18" s="22"/>
      <c r="H18" s="28"/>
      <c r="I18" s="13">
        <v>2700</v>
      </c>
      <c r="J18" s="29">
        <f>IF(G18="",0,IF(I18&gt;0,I18,IF(H18="A",G18,IF(H18="M",G18*12,IF(H18="W",G18*Lookups!B$9,IF(H18="B",G18*+Lookups!B$10,IF(H18="S",G18*2,IF(AND(G18=0,I18&gt;0),I18,"ERROR"))))))))</f>
        <v>0</v>
      </c>
      <c r="K18" s="26" t="str">
        <f t="shared" si="1"/>
        <v/>
      </c>
      <c r="L18" s="27" t="str">
        <f t="shared" si="2"/>
        <v>X</v>
      </c>
    </row>
    <row r="19" spans="1:18" x14ac:dyDescent="0.35">
      <c r="A19" s="101" t="s">
        <v>255</v>
      </c>
      <c r="B19" s="102" t="s">
        <v>256</v>
      </c>
      <c r="C19" s="103">
        <v>11184</v>
      </c>
      <c r="D19" s="104"/>
      <c r="E19" s="103"/>
      <c r="F19" s="105">
        <f t="shared" si="0"/>
        <v>0</v>
      </c>
      <c r="G19" s="104"/>
      <c r="H19" s="106"/>
      <c r="I19" s="103"/>
      <c r="J19" s="105">
        <f>IF(G19="",0,IF(I19&gt;0,I19,IF(H19="A",G19,IF(H19="M",G19*12,IF(H19="W",G19*Lookups!B$9,IF(H19="B",G19*+Lookups!B$10,IF(H19="S",G19*2,IF(AND(G19=0,I19&gt;0),I19,"ERROR"))))))))</f>
        <v>0</v>
      </c>
      <c r="K19" s="107" t="str">
        <f t="shared" si="1"/>
        <v/>
      </c>
      <c r="L19" s="108" t="str">
        <f t="shared" si="2"/>
        <v/>
      </c>
      <c r="M19" s="109"/>
      <c r="N19" s="109"/>
      <c r="O19" s="109"/>
      <c r="P19" s="110"/>
      <c r="Q19" s="111"/>
    </row>
    <row r="20" spans="1:18" x14ac:dyDescent="0.35">
      <c r="A20" s="30" t="s">
        <v>23</v>
      </c>
      <c r="B20" s="4" t="s">
        <v>24</v>
      </c>
      <c r="C20" s="13">
        <v>1030</v>
      </c>
      <c r="D20" s="22">
        <v>1099.8</v>
      </c>
      <c r="E20" s="13">
        <v>882</v>
      </c>
      <c r="F20" s="29">
        <f t="shared" si="0"/>
        <v>1099.8</v>
      </c>
      <c r="G20" s="22">
        <v>20.75</v>
      </c>
      <c r="H20" s="28" t="s">
        <v>46</v>
      </c>
      <c r="I20" s="13"/>
      <c r="J20" s="29">
        <f>IF(G20="",0,IF(I20&gt;0,I20,IF(H20="A",G20,IF(H20="M",G20*12,IF(H20="W",G20*Lookups!B$9,IF(H20="B",G20*+Lookups!B$10,IF(H20="S",G20*2,IF(AND(G20=0,I20&gt;0),I20,"ERROR"))))))))</f>
        <v>1099.75</v>
      </c>
      <c r="K20" s="26">
        <f t="shared" si="1"/>
        <v>0</v>
      </c>
      <c r="L20" s="27" t="str">
        <f t="shared" si="2"/>
        <v>S</v>
      </c>
      <c r="M20" s="72" t="s">
        <v>433</v>
      </c>
      <c r="N20" s="73" t="s">
        <v>434</v>
      </c>
      <c r="O20" s="73" t="s">
        <v>435</v>
      </c>
      <c r="P20" s="74" t="s">
        <v>418</v>
      </c>
      <c r="Q20" s="75">
        <v>53108</v>
      </c>
    </row>
    <row r="21" spans="1:18" x14ac:dyDescent="0.35">
      <c r="A21" s="30" t="s">
        <v>25</v>
      </c>
      <c r="B21" s="4" t="s">
        <v>436</v>
      </c>
      <c r="C21" s="13">
        <v>2600</v>
      </c>
      <c r="D21" s="22">
        <v>2600</v>
      </c>
      <c r="E21" s="13">
        <v>1970</v>
      </c>
      <c r="F21" s="29">
        <f t="shared" si="0"/>
        <v>2600</v>
      </c>
      <c r="G21" s="22">
        <v>50</v>
      </c>
      <c r="H21" s="28" t="s">
        <v>46</v>
      </c>
      <c r="I21" s="13"/>
      <c r="J21" s="29">
        <f>IF(G21="",0,IF(I21&gt;0,I21,IF(H21="A",G21,IF(H21="M",G21*12,IF(H21="W",G21*Lookups!B$9,IF(H21="B",G21*+Lookups!B$10,IF(H21="S",G21*2,IF(AND(G21=0,I21&gt;0),I21,"ERROR"))))))))</f>
        <v>2650</v>
      </c>
      <c r="K21" s="26">
        <f t="shared" si="1"/>
        <v>50</v>
      </c>
      <c r="L21" s="27" t="str">
        <f t="shared" si="2"/>
        <v>I</v>
      </c>
      <c r="N21" s="73" t="s">
        <v>437</v>
      </c>
      <c r="O21" s="73" t="s">
        <v>423</v>
      </c>
      <c r="P21" s="74" t="s">
        <v>418</v>
      </c>
      <c r="Q21" s="75">
        <v>53126</v>
      </c>
      <c r="R21" s="73" t="s">
        <v>438</v>
      </c>
    </row>
    <row r="22" spans="1:18" x14ac:dyDescent="0.35">
      <c r="A22" s="30" t="s">
        <v>28</v>
      </c>
      <c r="B22" s="4" t="s">
        <v>29</v>
      </c>
      <c r="C22" s="13">
        <v>1200</v>
      </c>
      <c r="D22" s="22">
        <v>2400</v>
      </c>
      <c r="E22" s="13">
        <v>1600</v>
      </c>
      <c r="F22" s="29">
        <f t="shared" si="0"/>
        <v>1600</v>
      </c>
      <c r="G22" s="22">
        <v>100</v>
      </c>
      <c r="H22" s="28" t="s">
        <v>47</v>
      </c>
      <c r="I22" s="13"/>
      <c r="J22" s="29">
        <f>IF(G22="",0,IF(I22&gt;0,I22,IF(H22="A",G22,IF(H22="M",G22*12,IF(H22="W",G22*Lookups!B$9,IF(H22="B",G22*+Lookups!B$10,IF(H22="S",G22*2,IF(AND(G22=0,I22&gt;0),I22,"ERROR"))))))))</f>
        <v>1200</v>
      </c>
      <c r="K22" s="26">
        <f t="shared" si="1"/>
        <v>-1200</v>
      </c>
      <c r="L22" s="27" t="str">
        <f t="shared" si="2"/>
        <v>D</v>
      </c>
    </row>
    <row r="23" spans="1:18" x14ac:dyDescent="0.35">
      <c r="A23" s="30" t="s">
        <v>32</v>
      </c>
      <c r="B23" s="4" t="s">
        <v>33</v>
      </c>
      <c r="C23" s="13">
        <v>900</v>
      </c>
      <c r="D23" s="22">
        <v>1000</v>
      </c>
      <c r="E23" s="13">
        <v>750</v>
      </c>
      <c r="F23" s="29">
        <f t="shared" si="0"/>
        <v>1000</v>
      </c>
      <c r="G23" s="22"/>
      <c r="H23" s="28" t="s">
        <v>43</v>
      </c>
      <c r="I23" s="13">
        <v>1000</v>
      </c>
      <c r="J23" s="29">
        <f>IF(G23="",0,IF(I23&gt;0,I23,IF(H23="A",G23,IF(H23="M",G23*12,IF(H23="W",G23*Lookups!B$9,IF(H23="B",G23*+Lookups!B$10,IF(H23="S",G23*2,IF(AND(G23=0,I23&gt;0),I23,"ERROR"))))))))</f>
        <v>0</v>
      </c>
      <c r="K23" s="26" t="str">
        <f>IF(AND(J23=0,D23=0),"",IF(I23&gt;0,"",ROUND(+J23-D23,0)))</f>
        <v/>
      </c>
      <c r="L23" s="27" t="str">
        <f t="shared" si="2"/>
        <v>E</v>
      </c>
    </row>
    <row r="24" spans="1:18" x14ac:dyDescent="0.35">
      <c r="A24" s="30" t="s">
        <v>257</v>
      </c>
      <c r="B24" s="4" t="s">
        <v>258</v>
      </c>
      <c r="C24" s="13">
        <v>5</v>
      </c>
      <c r="D24" s="22"/>
      <c r="E24" s="13">
        <v>14</v>
      </c>
      <c r="F24" s="29">
        <f t="shared" si="0"/>
        <v>14</v>
      </c>
      <c r="G24" s="22">
        <v>10</v>
      </c>
      <c r="H24" s="28" t="s">
        <v>47</v>
      </c>
      <c r="I24" s="13"/>
      <c r="J24" s="29">
        <f>IF(G24="",0,IF(I24&gt;0,I24,IF(H24="A",G24,IF(H24="M",G24*12,IF(H24="W",G24*Lookups!B$9,IF(H24="B",G24*+Lookups!B$10,IF(H24="S",G24*2,IF(AND(G24=0,I24&gt;0),I24,"ERROR"))))))))</f>
        <v>120</v>
      </c>
      <c r="K24" s="26">
        <f t="shared" ref="K24:K87" si="3">IF(AND(J24=0,D24=0),"",IF(I24&gt;0,"",ROUND(+J24-D24,0)))</f>
        <v>120</v>
      </c>
      <c r="L24" s="27" t="str">
        <f t="shared" si="2"/>
        <v>N</v>
      </c>
      <c r="M24" s="72" t="s">
        <v>439</v>
      </c>
      <c r="N24" s="73" t="s">
        <v>440</v>
      </c>
      <c r="O24" s="73" t="s">
        <v>417</v>
      </c>
      <c r="P24" s="74" t="s">
        <v>418</v>
      </c>
      <c r="Q24" s="75">
        <v>53406</v>
      </c>
    </row>
    <row r="25" spans="1:18" x14ac:dyDescent="0.35">
      <c r="A25" s="30" t="s">
        <v>257</v>
      </c>
      <c r="B25" s="4" t="s">
        <v>379</v>
      </c>
      <c r="C25" s="13"/>
      <c r="D25" s="22"/>
      <c r="E25" s="13">
        <v>10</v>
      </c>
      <c r="F25" s="29">
        <f t="shared" si="0"/>
        <v>10</v>
      </c>
      <c r="G25" s="22"/>
      <c r="H25" s="28"/>
      <c r="I25" s="13"/>
      <c r="J25" s="29">
        <f>IF(G25="",0,IF(I25&gt;0,I25,IF(H25="A",G25,IF(H25="M",G25*12,IF(H25="W",G25*Lookups!B$9,IF(H25="B",G25*+Lookups!B$10,IF(H25="S",G25*2,IF(AND(G25=0,I25&gt;0),I25,"ERROR"))))))))</f>
        <v>0</v>
      </c>
      <c r="K25" s="26" t="str">
        <f t="shared" si="3"/>
        <v/>
      </c>
      <c r="L25" s="27" t="str">
        <f>IF(AND(I25&gt;0,D25=0,G25=0),"X",IF(AND(I25&gt;0,D25&gt;0),"E",IF(K25="","",IF(K25=0,"S",IF(AND(K25&gt;0,NOT(D25=0)),"I",IF(AND(K25&gt;0,D25=0),"N",IF(K25&lt;0,"D","ERROR")))))))</f>
        <v/>
      </c>
    </row>
    <row r="26" spans="1:18" x14ac:dyDescent="0.35">
      <c r="A26" s="30" t="s">
        <v>75</v>
      </c>
      <c r="B26" s="4" t="s">
        <v>27</v>
      </c>
      <c r="C26" s="13">
        <v>650</v>
      </c>
      <c r="D26" s="22">
        <v>750</v>
      </c>
      <c r="E26" s="13">
        <v>150</v>
      </c>
      <c r="F26" s="29">
        <f t="shared" si="0"/>
        <v>150</v>
      </c>
      <c r="G26" s="22"/>
      <c r="H26" s="28" t="s">
        <v>47</v>
      </c>
      <c r="I26" s="13">
        <v>0</v>
      </c>
      <c r="J26" s="29">
        <f>IF(G26="",0,IF(I26&gt;0,I26,IF(H26="A",G26,IF(H26="M",G26*12,IF(H26="W",G26*Lookups!B$9,IF(H26="B",G26*+Lookups!B$10,IF(H26="S",G26*2,IF(AND(G26=0,I26&gt;0),I26,"ERROR"))))))))</f>
        <v>0</v>
      </c>
      <c r="K26" s="26">
        <f t="shared" si="3"/>
        <v>-750</v>
      </c>
      <c r="L26" s="27" t="str">
        <f t="shared" si="2"/>
        <v>D</v>
      </c>
    </row>
    <row r="27" spans="1:18" x14ac:dyDescent="0.35">
      <c r="A27" s="30" t="s">
        <v>30</v>
      </c>
      <c r="B27" s="4" t="s">
        <v>31</v>
      </c>
      <c r="C27" s="13">
        <v>3525</v>
      </c>
      <c r="D27" s="22">
        <v>4160</v>
      </c>
      <c r="E27" s="13">
        <v>2240</v>
      </c>
      <c r="F27" s="29">
        <f t="shared" si="0"/>
        <v>2240</v>
      </c>
      <c r="G27" s="22">
        <v>80</v>
      </c>
      <c r="H27" s="28" t="s">
        <v>46</v>
      </c>
      <c r="I27" s="13"/>
      <c r="J27" s="29">
        <f>IF(G27="",0,IF(I27&gt;0,I27,IF(H27="A",G27,IF(H27="M",G27*12,IF(H27="W",G27*Lookups!B$9,IF(H27="B",G27*+Lookups!B$10,IF(H27="S",G27*2,IF(AND(G27=0,I27&gt;0),I27,"ERROR"))))))))</f>
        <v>4240</v>
      </c>
      <c r="K27" s="26">
        <f t="shared" si="3"/>
        <v>80</v>
      </c>
      <c r="L27" s="27" t="str">
        <f t="shared" si="2"/>
        <v>I</v>
      </c>
    </row>
    <row r="28" spans="1:18" x14ac:dyDescent="0.35">
      <c r="A28" s="30" t="s">
        <v>30</v>
      </c>
      <c r="B28" s="4" t="s">
        <v>380</v>
      </c>
      <c r="C28" s="13"/>
      <c r="D28" s="22"/>
      <c r="E28" s="13">
        <v>20</v>
      </c>
      <c r="F28" s="29">
        <f t="shared" si="0"/>
        <v>20</v>
      </c>
      <c r="G28" s="22"/>
      <c r="H28" s="28"/>
      <c r="I28" s="13"/>
      <c r="J28" s="29">
        <f>IF(G28="",0,IF(I28&gt;0,I28,IF(H28="A",G28,IF(H28="M",G28*12,IF(H28="W",G28*Lookups!B$9,IF(H28="B",G28*+Lookups!B$10,IF(H28="S",G28*2,IF(AND(G28=0,I28&gt;0),I28,"ERROR"))))))))</f>
        <v>0</v>
      </c>
      <c r="K28" s="26" t="str">
        <f t="shared" si="3"/>
        <v/>
      </c>
      <c r="L28" s="27" t="str">
        <f>IF(AND(I28&gt;0,D28=0,G28=0),"X",IF(AND(I28&gt;0,D28&gt;0),"E",IF(K28="","",IF(K28=0,"S",IF(AND(K28&gt;0,NOT(D28=0)),"I",IF(AND(K28&gt;0,D28=0),"N",IF(K28&lt;0,"D","ERROR")))))))</f>
        <v/>
      </c>
    </row>
    <row r="29" spans="1:18" x14ac:dyDescent="0.35">
      <c r="A29" s="30" t="s">
        <v>76</v>
      </c>
      <c r="B29" s="4" t="s">
        <v>77</v>
      </c>
      <c r="C29" s="13">
        <v>1080</v>
      </c>
      <c r="D29" s="22">
        <v>1080</v>
      </c>
      <c r="E29" s="13">
        <v>810</v>
      </c>
      <c r="F29" s="29">
        <f t="shared" si="0"/>
        <v>1080</v>
      </c>
      <c r="G29" s="22">
        <v>90</v>
      </c>
      <c r="H29" s="28" t="s">
        <v>47</v>
      </c>
      <c r="I29" s="13"/>
      <c r="J29" s="29">
        <f>IF(G29="",0,IF(I29&gt;0,I29,IF(H29="A",G29,IF(H29="M",G29*12,IF(H29="W",G29*Lookups!B$9,IF(H29="B",G29*+Lookups!B$10,IF(H29="S",G29*2,IF(AND(G29=0,I29&gt;0),I29,"ERROR"))))))))</f>
        <v>1080</v>
      </c>
      <c r="K29" s="26">
        <f t="shared" si="3"/>
        <v>0</v>
      </c>
      <c r="L29" s="27" t="str">
        <f t="shared" si="2"/>
        <v>S</v>
      </c>
      <c r="M29" s="72" t="s">
        <v>441</v>
      </c>
      <c r="N29" s="73" t="s">
        <v>442</v>
      </c>
      <c r="O29" s="73" t="s">
        <v>443</v>
      </c>
      <c r="P29" s="74" t="s">
        <v>418</v>
      </c>
      <c r="Q29" s="75">
        <v>53402</v>
      </c>
    </row>
    <row r="30" spans="1:18" x14ac:dyDescent="0.35">
      <c r="A30" s="91" t="s">
        <v>34</v>
      </c>
      <c r="B30" s="92" t="s">
        <v>35</v>
      </c>
      <c r="C30" s="93">
        <v>750</v>
      </c>
      <c r="D30" s="94">
        <v>1200</v>
      </c>
      <c r="E30" s="93">
        <v>500</v>
      </c>
      <c r="F30" s="95">
        <f t="shared" si="0"/>
        <v>500</v>
      </c>
      <c r="G30" s="94">
        <v>100</v>
      </c>
      <c r="H30" s="96" t="s">
        <v>47</v>
      </c>
      <c r="I30" s="93"/>
      <c r="J30" s="95">
        <f>IF(G30="",0,IF(I30&gt;0,I30,IF(H30="A",G30,IF(H30="M",G30*12,IF(H30="W",G30*Lookups!B$9,IF(H30="B",G30*+Lookups!B$10,IF(H30="S",G30*2,IF(AND(G30=0,I30&gt;0),I30,"ERROR"))))))))</f>
        <v>1200</v>
      </c>
      <c r="K30" s="26">
        <f t="shared" si="3"/>
        <v>0</v>
      </c>
      <c r="L30" s="97" t="str">
        <f t="shared" si="2"/>
        <v>S</v>
      </c>
      <c r="M30" s="98"/>
      <c r="N30" s="98"/>
      <c r="O30" s="98"/>
      <c r="P30" s="99"/>
      <c r="Q30" s="100"/>
      <c r="R30" s="73"/>
    </row>
    <row r="31" spans="1:18" x14ac:dyDescent="0.35">
      <c r="A31" s="30" t="s">
        <v>36</v>
      </c>
      <c r="B31" s="4" t="s">
        <v>37</v>
      </c>
      <c r="C31" s="13">
        <v>600</v>
      </c>
      <c r="D31" s="22">
        <v>600</v>
      </c>
      <c r="E31" s="13">
        <v>650</v>
      </c>
      <c r="F31" s="29">
        <f t="shared" si="0"/>
        <v>650</v>
      </c>
      <c r="G31" s="22">
        <v>50</v>
      </c>
      <c r="H31" s="28" t="s">
        <v>47</v>
      </c>
      <c r="I31" s="13"/>
      <c r="J31" s="29">
        <f>IF(G31="",0,IF(I31&gt;0,I31,IF(H31="A",G31,IF(H31="M",G31*12,IF(H31="W",G31*Lookups!B$9,IF(H31="B",G31*+Lookups!B$10,IF(H31="S",G31*2,IF(AND(G31=0,I31&gt;0),I31,"ERROR"))))))))</f>
        <v>600</v>
      </c>
      <c r="K31" s="26">
        <f t="shared" si="3"/>
        <v>0</v>
      </c>
      <c r="L31" s="27" t="str">
        <f t="shared" si="2"/>
        <v>S</v>
      </c>
      <c r="M31" s="72" t="s">
        <v>444</v>
      </c>
      <c r="N31" s="73" t="s">
        <v>445</v>
      </c>
      <c r="O31" s="73" t="s">
        <v>446</v>
      </c>
      <c r="P31" s="74" t="s">
        <v>418</v>
      </c>
      <c r="Q31" s="75">
        <v>53182</v>
      </c>
    </row>
    <row r="32" spans="1:18" x14ac:dyDescent="0.35">
      <c r="A32" s="30" t="s">
        <v>36</v>
      </c>
      <c r="B32" s="4" t="s">
        <v>38</v>
      </c>
      <c r="C32" s="13">
        <v>300</v>
      </c>
      <c r="D32" s="22">
        <v>300</v>
      </c>
      <c r="E32" s="13">
        <v>250</v>
      </c>
      <c r="F32" s="29">
        <f t="shared" si="0"/>
        <v>300</v>
      </c>
      <c r="G32" s="22">
        <v>25</v>
      </c>
      <c r="H32" s="28" t="s">
        <v>47</v>
      </c>
      <c r="I32" s="13"/>
      <c r="J32" s="29">
        <f>IF(G32="",0,IF(I32&gt;0,I32,IF(H32="A",G32,IF(H32="M",G32*12,IF(H32="W",G32*Lookups!B$9,IF(H32="B",G32*+Lookups!B$10,IF(H32="S",G32*2,IF(AND(G32=0,I32&gt;0),I32,"ERROR"))))))))</f>
        <v>300</v>
      </c>
      <c r="K32" s="26">
        <f t="shared" si="3"/>
        <v>0</v>
      </c>
      <c r="L32" s="27" t="str">
        <f t="shared" si="2"/>
        <v>S</v>
      </c>
      <c r="N32" s="73" t="s">
        <v>447</v>
      </c>
      <c r="O32" s="73" t="s">
        <v>417</v>
      </c>
      <c r="P32" s="74" t="s">
        <v>418</v>
      </c>
      <c r="Q32" s="75">
        <v>53406</v>
      </c>
    </row>
    <row r="33" spans="1:17" x14ac:dyDescent="0.35">
      <c r="A33" s="30" t="s">
        <v>541</v>
      </c>
      <c r="B33" s="4" t="s">
        <v>542</v>
      </c>
      <c r="C33" s="13"/>
      <c r="D33" s="22"/>
      <c r="E33" s="13"/>
      <c r="F33" s="29">
        <f t="shared" ref="F33" si="4">IF(D33=0,E33,IF(AND(E33=0,H33="A"),D33,IF(E33&gt;D33,E33, IF(E33/D33&gt;0.73,D33,E33))))</f>
        <v>0</v>
      </c>
      <c r="G33" s="22">
        <v>200</v>
      </c>
      <c r="H33" s="28" t="s">
        <v>47</v>
      </c>
      <c r="I33" s="13"/>
      <c r="J33" s="29">
        <f>IF(G33="",0,IF(I33&gt;0,I33,IF(H33="A",G33,IF(H33="M",G33*12,IF(H33="W",G33*Lookups!B$9,IF(H33="B",G33*+Lookups!B$10,IF(H33="S",G33*2,IF(AND(G33=0,I33&gt;0),I33,"ERROR"))))))))</f>
        <v>2400</v>
      </c>
      <c r="K33" s="26">
        <f t="shared" si="3"/>
        <v>2400</v>
      </c>
      <c r="L33" s="27" t="str">
        <f t="shared" ref="L33" si="5">IF(AND(I33&gt;0,D33=0,G33=0),"X",IF(AND(I33&gt;0,D33&gt;0),"E",IF(K33="","",IF(K33=0,"S",IF(AND(K33&gt;0,NOT(D33=0)),"I",IF(AND(K33&gt;0,D33=0),"N",IF(K33&lt;0,"D","ERROR")))))))</f>
        <v>N</v>
      </c>
    </row>
    <row r="34" spans="1:17" x14ac:dyDescent="0.35">
      <c r="A34" s="30" t="s">
        <v>39</v>
      </c>
      <c r="B34" s="4" t="s">
        <v>40</v>
      </c>
      <c r="C34" s="13">
        <v>0</v>
      </c>
      <c r="D34" s="22">
        <v>500</v>
      </c>
      <c r="E34" s="13"/>
      <c r="F34" s="29">
        <f t="shared" si="0"/>
        <v>500</v>
      </c>
      <c r="G34" s="22">
        <v>500</v>
      </c>
      <c r="H34" s="28" t="s">
        <v>43</v>
      </c>
      <c r="I34" s="13"/>
      <c r="J34" s="29">
        <f>IF(G34="",0,IF(I34&gt;0,I34,IF(H34="A",G34,IF(H34="M",G34*12,IF(H34="W",G34*Lookups!B$9,IF(H34="B",G34*+Lookups!B$10,IF(H34="S",G34*2,IF(AND(G34=0,I34&gt;0),I34,"ERROR"))))))))</f>
        <v>500</v>
      </c>
      <c r="K34" s="26">
        <f t="shared" si="3"/>
        <v>0</v>
      </c>
      <c r="L34" s="27" t="str">
        <f t="shared" si="2"/>
        <v>S</v>
      </c>
    </row>
    <row r="35" spans="1:17" x14ac:dyDescent="0.35">
      <c r="A35" s="30" t="s">
        <v>381</v>
      </c>
      <c r="B35" s="4" t="s">
        <v>382</v>
      </c>
      <c r="C35" s="13"/>
      <c r="D35" s="22"/>
      <c r="E35" s="13">
        <v>20</v>
      </c>
      <c r="F35" s="29">
        <f t="shared" si="0"/>
        <v>20</v>
      </c>
      <c r="G35" s="22"/>
      <c r="H35" s="28"/>
      <c r="I35" s="13"/>
      <c r="J35" s="29">
        <f>IF(G35="",0,IF(I35&gt;0,I35,IF(H35="A",G35,IF(H35="M",G35*12,IF(H35="W",G35*Lookups!B$9,IF(H35="B",G35*+Lookups!B$10,IF(H35="S",G35*2,IF(AND(G35=0,I35&gt;0),I35,"ERROR"))))))))</f>
        <v>0</v>
      </c>
      <c r="K35" s="26" t="str">
        <f t="shared" si="3"/>
        <v/>
      </c>
      <c r="L35" s="27" t="str">
        <f>IF(AND(I35&gt;0,D35=0,G35=0),"X",IF(AND(I35&gt;0,D35&gt;0),"E",IF(K35="","",IF(K35=0,"S",IF(AND(K35&gt;0,NOT(D35=0)),"I",IF(AND(K35&gt;0,D35=0),"N",IF(K35&lt;0,"D","ERROR")))))))</f>
        <v/>
      </c>
    </row>
    <row r="36" spans="1:17" x14ac:dyDescent="0.35">
      <c r="A36" s="30" t="s">
        <v>260</v>
      </c>
      <c r="B36" s="4" t="s">
        <v>259</v>
      </c>
      <c r="C36" s="13">
        <v>1380</v>
      </c>
      <c r="D36" s="22"/>
      <c r="E36" s="13">
        <v>1035</v>
      </c>
      <c r="F36" s="29">
        <f t="shared" si="0"/>
        <v>1035</v>
      </c>
      <c r="G36" s="22">
        <v>120</v>
      </c>
      <c r="H36" s="28" t="s">
        <v>47</v>
      </c>
      <c r="I36" s="13"/>
      <c r="J36" s="29">
        <f>IF(G36="",0,IF(I36&gt;0,I36,IF(H36="A",G36,IF(H36="M",G36*12,IF(H36="W",G36*Lookups!B$9,IF(H36="B",G36*+Lookups!B$10,IF(H36="S",G36*2,IF(AND(G36=0,I36&gt;0),I36,"ERROR"))))))))</f>
        <v>1440</v>
      </c>
      <c r="K36" s="26">
        <f t="shared" si="3"/>
        <v>1440</v>
      </c>
      <c r="L36" s="27" t="str">
        <f t="shared" si="2"/>
        <v>N</v>
      </c>
      <c r="M36" s="72" t="s">
        <v>448</v>
      </c>
      <c r="N36" s="73" t="s">
        <v>449</v>
      </c>
      <c r="O36" s="73" t="s">
        <v>443</v>
      </c>
      <c r="P36" s="74" t="s">
        <v>418</v>
      </c>
      <c r="Q36" s="75">
        <v>53403</v>
      </c>
    </row>
    <row r="37" spans="1:17" x14ac:dyDescent="0.35">
      <c r="A37" s="30" t="s">
        <v>41</v>
      </c>
      <c r="B37" s="4" t="s">
        <v>42</v>
      </c>
      <c r="C37" s="13">
        <v>2640</v>
      </c>
      <c r="D37" s="22">
        <v>2700</v>
      </c>
      <c r="E37" s="13">
        <v>2025</v>
      </c>
      <c r="F37" s="29">
        <f t="shared" si="0"/>
        <v>2700</v>
      </c>
      <c r="G37" s="22">
        <v>225</v>
      </c>
      <c r="H37" s="28" t="s">
        <v>47</v>
      </c>
      <c r="I37" s="13"/>
      <c r="J37" s="29">
        <f>IF(G37="",0,IF(I37&gt;0,I37,IF(H37="A",G37,IF(H37="M",G37*12,IF(H37="W",G37*Lookups!B$9,IF(H37="B",G37*+Lookups!B$10,IF(H37="S",G37*2,IF(AND(G37=0,I37&gt;0),I37,"ERROR"))))))))</f>
        <v>2700</v>
      </c>
      <c r="K37" s="26">
        <f t="shared" si="3"/>
        <v>0</v>
      </c>
      <c r="L37" s="27" t="str">
        <f t="shared" si="2"/>
        <v>S</v>
      </c>
    </row>
    <row r="38" spans="1:17" x14ac:dyDescent="0.35">
      <c r="A38" s="30" t="s">
        <v>261</v>
      </c>
      <c r="B38" s="4" t="s">
        <v>45</v>
      </c>
      <c r="C38" s="13">
        <v>3140</v>
      </c>
      <c r="D38" s="22">
        <v>3120</v>
      </c>
      <c r="E38" s="13">
        <v>2340</v>
      </c>
      <c r="F38" s="29">
        <f t="shared" si="0"/>
        <v>3120</v>
      </c>
      <c r="G38" s="22"/>
      <c r="H38" s="28" t="s">
        <v>46</v>
      </c>
      <c r="I38" s="13">
        <v>3120</v>
      </c>
      <c r="J38" s="29">
        <f>IF(G38="",0,IF(I38&gt;0,I38,IF(H38="A",G38,IF(H38="M",G38*12,IF(H38="W",G38*Lookups!B$9,IF(H38="B",G38*+Lookups!B$10,IF(H38="S",G38*2,IF(AND(G38=0,I38&gt;0),I38,"ERROR"))))))))</f>
        <v>0</v>
      </c>
      <c r="K38" s="26" t="str">
        <f t="shared" si="3"/>
        <v/>
      </c>
      <c r="L38" s="27" t="str">
        <f t="shared" si="2"/>
        <v>E</v>
      </c>
    </row>
    <row r="39" spans="1:17" x14ac:dyDescent="0.35">
      <c r="A39" s="30" t="s">
        <v>262</v>
      </c>
      <c r="B39" s="4" t="s">
        <v>263</v>
      </c>
      <c r="C39" s="13">
        <v>200</v>
      </c>
      <c r="D39" s="22"/>
      <c r="E39" s="13"/>
      <c r="F39" s="29">
        <f t="shared" si="0"/>
        <v>0</v>
      </c>
      <c r="G39" s="22"/>
      <c r="H39" s="28"/>
      <c r="I39" s="13"/>
      <c r="J39" s="29">
        <f>IF(G39="",0,IF(I39&gt;0,I39,IF(H39="A",G39,IF(H39="M",G39*12,IF(H39="W",G39*Lookups!B$9,IF(H39="B",G39*+Lookups!B$10,IF(H39="S",G39*2,IF(AND(G39=0,I39&gt;0),I39,"ERROR"))))))))</f>
        <v>0</v>
      </c>
      <c r="K39" s="26" t="str">
        <f t="shared" si="3"/>
        <v/>
      </c>
      <c r="L39" s="27" t="str">
        <f t="shared" si="2"/>
        <v/>
      </c>
    </row>
    <row r="40" spans="1:17" x14ac:dyDescent="0.35">
      <c r="A40" s="30" t="s">
        <v>264</v>
      </c>
      <c r="B40" s="4" t="s">
        <v>265</v>
      </c>
      <c r="C40" s="13">
        <v>600</v>
      </c>
      <c r="D40" s="22"/>
      <c r="E40" s="13">
        <v>450</v>
      </c>
      <c r="F40" s="29">
        <f t="shared" si="0"/>
        <v>450</v>
      </c>
      <c r="G40" s="22"/>
      <c r="H40" s="28"/>
      <c r="I40" s="13">
        <v>600</v>
      </c>
      <c r="J40" s="29">
        <f>IF(G40="",0,IF(I40&gt;0,I40,IF(H40="A",G40,IF(H40="M",G40*12,IF(H40="W",G40*Lookups!B$9,IF(H40="B",G40*+Lookups!B$10,IF(H40="S",G40*2,IF(AND(G40=0,I40&gt;0),I40,"ERROR"))))))))</f>
        <v>0</v>
      </c>
      <c r="K40" s="26" t="str">
        <f t="shared" si="3"/>
        <v/>
      </c>
      <c r="L40" s="27" t="str">
        <f t="shared" si="2"/>
        <v>X</v>
      </c>
    </row>
    <row r="41" spans="1:17" x14ac:dyDescent="0.35">
      <c r="A41" s="30" t="s">
        <v>383</v>
      </c>
      <c r="B41" s="4" t="s">
        <v>384</v>
      </c>
      <c r="C41" s="13"/>
      <c r="D41" s="22"/>
      <c r="E41" s="13">
        <v>100</v>
      </c>
      <c r="F41" s="29">
        <f t="shared" si="0"/>
        <v>100</v>
      </c>
      <c r="G41" s="22"/>
      <c r="H41" s="28"/>
      <c r="I41" s="13"/>
      <c r="J41" s="29">
        <f>IF(G41="",0,IF(I41&gt;0,I41,IF(H41="A",G41,IF(H41="M",G41*12,IF(H41="W",G41*Lookups!B$9,IF(H41="B",G41*+Lookups!B$10,IF(H41="S",G41*2,IF(AND(G41=0,I41&gt;0),I41,"ERROR"))))))))</f>
        <v>0</v>
      </c>
      <c r="K41" s="26" t="str">
        <f t="shared" si="3"/>
        <v/>
      </c>
      <c r="L41" s="27" t="str">
        <f>IF(AND(I41&gt;0,D41=0,G41=0),"X",IF(AND(I41&gt;0,D41&gt;0),"E",IF(K41="","",IF(K41=0,"S",IF(AND(K41&gt;0,NOT(D41=0)),"I",IF(AND(K41&gt;0,D41=0),"N",IF(K41&lt;0,"D","ERROR")))))))</f>
        <v/>
      </c>
    </row>
    <row r="42" spans="1:17" x14ac:dyDescent="0.35">
      <c r="A42" s="30" t="s">
        <v>78</v>
      </c>
      <c r="B42" s="4" t="s">
        <v>79</v>
      </c>
      <c r="C42" s="13">
        <v>2600</v>
      </c>
      <c r="D42" s="22">
        <v>5200</v>
      </c>
      <c r="E42" s="13">
        <v>5200</v>
      </c>
      <c r="F42" s="29">
        <f t="shared" si="0"/>
        <v>5200</v>
      </c>
      <c r="G42" s="22"/>
      <c r="H42" s="28" t="s">
        <v>43</v>
      </c>
      <c r="I42" s="13">
        <v>5200</v>
      </c>
      <c r="J42" s="29">
        <f>IF(G42="",0,IF(I42&gt;0,I42,IF(H42="A",G42,IF(H42="M",G42*12,IF(H42="W",G42*Lookups!B$9,IF(H42="B",G42*+Lookups!B$10,IF(H42="S",G42*2,IF(AND(G42=0,I42&gt;0),I42,"ERROR"))))))))</f>
        <v>0</v>
      </c>
      <c r="K42" s="26" t="str">
        <f t="shared" si="3"/>
        <v/>
      </c>
      <c r="L42" s="27" t="str">
        <f t="shared" si="2"/>
        <v>E</v>
      </c>
    </row>
    <row r="43" spans="1:17" x14ac:dyDescent="0.35">
      <c r="A43" s="30" t="s">
        <v>385</v>
      </c>
      <c r="B43" s="4" t="s">
        <v>386</v>
      </c>
      <c r="C43" s="13"/>
      <c r="D43" s="22"/>
      <c r="E43" s="13">
        <v>25</v>
      </c>
      <c r="F43" s="29">
        <f t="shared" si="0"/>
        <v>25</v>
      </c>
      <c r="G43" s="22"/>
      <c r="H43" s="28"/>
      <c r="I43" s="13"/>
      <c r="J43" s="29">
        <f>IF(G43="",0,IF(I43&gt;0,I43,IF(H43="A",G43,IF(H43="M",G43*12,IF(H43="W",G43*Lookups!B$9,IF(H43="B",G43*+Lookups!B$10,IF(H43="S",G43*2,IF(AND(G43=0,I43&gt;0),I43,"ERROR"))))))))</f>
        <v>0</v>
      </c>
      <c r="K43" s="26" t="str">
        <f t="shared" si="3"/>
        <v/>
      </c>
      <c r="L43" s="27" t="str">
        <f>IF(AND(I43&gt;0,D43=0,G43=0),"X",IF(AND(I43&gt;0,D43&gt;0),"E",IF(K43="","",IF(K43=0,"S",IF(AND(K43&gt;0,NOT(D43=0)),"I",IF(AND(K43&gt;0,D43=0),"N",IF(K43&lt;0,"D","ERROR")))))))</f>
        <v/>
      </c>
    </row>
    <row r="44" spans="1:17" x14ac:dyDescent="0.35">
      <c r="A44" s="30" t="s">
        <v>266</v>
      </c>
      <c r="B44" s="4" t="s">
        <v>267</v>
      </c>
      <c r="C44" s="13">
        <v>120</v>
      </c>
      <c r="D44" s="22"/>
      <c r="E44" s="13"/>
      <c r="F44" s="29">
        <f t="shared" si="0"/>
        <v>0</v>
      </c>
      <c r="G44" s="22"/>
      <c r="H44" s="28"/>
      <c r="I44" s="13"/>
      <c r="J44" s="29">
        <f>IF(G44="",0,IF(I44&gt;0,I44,IF(H44="A",G44,IF(H44="M",G44*12,IF(H44="W",G44*Lookups!B$9,IF(H44="B",G44*+Lookups!B$10,IF(H44="S",G44*2,IF(AND(G44=0,I44&gt;0),I44,"ERROR"))))))))</f>
        <v>0</v>
      </c>
      <c r="K44" s="26" t="str">
        <f t="shared" si="3"/>
        <v/>
      </c>
      <c r="L44" s="27" t="str">
        <f t="shared" si="2"/>
        <v/>
      </c>
    </row>
    <row r="45" spans="1:17" x14ac:dyDescent="0.35">
      <c r="A45" s="30" t="s">
        <v>80</v>
      </c>
      <c r="B45" s="4" t="s">
        <v>81</v>
      </c>
      <c r="C45" s="13">
        <v>1680</v>
      </c>
      <c r="D45" s="22">
        <v>1800</v>
      </c>
      <c r="E45" s="13">
        <v>1350</v>
      </c>
      <c r="F45" s="29">
        <f t="shared" si="0"/>
        <v>1800</v>
      </c>
      <c r="G45" s="22">
        <v>150</v>
      </c>
      <c r="H45" s="28" t="s">
        <v>47</v>
      </c>
      <c r="I45" s="13"/>
      <c r="J45" s="29">
        <f>IF(G45="",0,IF(I45&gt;0,I45,IF(H45="A",G45,IF(H45="M",G45*12,IF(H45="W",G45*Lookups!B$9,IF(H45="B",G45*+Lookups!B$10,IF(H45="S",G45*2,IF(AND(G45=0,I45&gt;0),I45,"ERROR"))))))))</f>
        <v>1800</v>
      </c>
      <c r="K45" s="26">
        <f t="shared" si="3"/>
        <v>0</v>
      </c>
      <c r="L45" s="27" t="str">
        <f t="shared" si="2"/>
        <v>S</v>
      </c>
      <c r="M45" s="72" t="s">
        <v>450</v>
      </c>
      <c r="N45" s="73" t="s">
        <v>451</v>
      </c>
      <c r="O45" s="73" t="s">
        <v>417</v>
      </c>
      <c r="P45" s="74" t="s">
        <v>418</v>
      </c>
      <c r="Q45" s="75">
        <v>53406</v>
      </c>
    </row>
    <row r="46" spans="1:17" x14ac:dyDescent="0.35">
      <c r="A46" s="30" t="s">
        <v>82</v>
      </c>
      <c r="B46" s="4" t="s">
        <v>83</v>
      </c>
      <c r="C46" s="13">
        <v>735</v>
      </c>
      <c r="D46" s="22">
        <v>1560</v>
      </c>
      <c r="E46" s="13">
        <v>445</v>
      </c>
      <c r="F46" s="29">
        <f t="shared" si="0"/>
        <v>445</v>
      </c>
      <c r="G46" s="22"/>
      <c r="H46" s="28" t="s">
        <v>46</v>
      </c>
      <c r="I46" s="13">
        <v>1000</v>
      </c>
      <c r="J46" s="29">
        <f>IF(G46="",0,IF(I46&gt;0,I46,IF(H46="A",G46,IF(H46="M",G46*12,IF(H46="W",G46*Lookups!B$9,IF(H46="B",G46*+Lookups!B$10,IF(H46="S",G46*2,IF(AND(G46=0,I46&gt;0),I46,"ERROR"))))))))</f>
        <v>0</v>
      </c>
      <c r="K46" s="26" t="str">
        <f t="shared" si="3"/>
        <v/>
      </c>
      <c r="L46" s="27" t="str">
        <f t="shared" si="2"/>
        <v>E</v>
      </c>
    </row>
    <row r="47" spans="1:17" x14ac:dyDescent="0.35">
      <c r="A47" s="30" t="s">
        <v>268</v>
      </c>
      <c r="B47" s="4" t="s">
        <v>269</v>
      </c>
      <c r="C47" s="13">
        <v>300</v>
      </c>
      <c r="D47" s="22"/>
      <c r="E47" s="13"/>
      <c r="F47" s="29">
        <f t="shared" si="0"/>
        <v>0</v>
      </c>
      <c r="G47" s="22"/>
      <c r="H47" s="28"/>
      <c r="I47" s="13"/>
      <c r="J47" s="29">
        <f>IF(G47="",0,IF(I47&gt;0,I47,IF(H47="A",G47,IF(H47="M",G47*12,IF(H47="W",G47*Lookups!B$9,IF(H47="B",G47*+Lookups!B$10,IF(H47="S",G47*2,IF(AND(G47=0,I47&gt;0),I47,"ERROR"))))))))</f>
        <v>0</v>
      </c>
      <c r="K47" s="26" t="str">
        <f t="shared" si="3"/>
        <v/>
      </c>
      <c r="L47" s="27" t="str">
        <f t="shared" si="2"/>
        <v/>
      </c>
    </row>
    <row r="48" spans="1:17" x14ac:dyDescent="0.35">
      <c r="A48" s="30" t="s">
        <v>84</v>
      </c>
      <c r="B48" s="4" t="s">
        <v>85</v>
      </c>
      <c r="C48" s="13">
        <v>300</v>
      </c>
      <c r="D48" s="22">
        <v>360</v>
      </c>
      <c r="E48" s="13">
        <v>240</v>
      </c>
      <c r="F48" s="29">
        <f t="shared" si="0"/>
        <v>240</v>
      </c>
      <c r="G48" s="22"/>
      <c r="H48" s="28" t="s">
        <v>47</v>
      </c>
      <c r="I48" s="13">
        <v>250</v>
      </c>
      <c r="J48" s="29">
        <f>IF(G48="",0,IF(I48&gt;0,I48,IF(H48="A",G48,IF(H48="M",G48*12,IF(H48="W",G48*Lookups!B$9,IF(H48="B",G48*+Lookups!B$10,IF(H48="S",G48*2,IF(AND(G48=0,I48&gt;0),I48,"ERROR"))))))))</f>
        <v>0</v>
      </c>
      <c r="K48" s="26" t="str">
        <f t="shared" si="3"/>
        <v/>
      </c>
      <c r="L48" s="27" t="str">
        <f t="shared" si="2"/>
        <v>E</v>
      </c>
    </row>
    <row r="49" spans="1:17" x14ac:dyDescent="0.35">
      <c r="A49" s="30" t="s">
        <v>452</v>
      </c>
      <c r="B49" s="4" t="s">
        <v>86</v>
      </c>
      <c r="C49" s="13">
        <v>3600</v>
      </c>
      <c r="D49" s="22">
        <v>3720</v>
      </c>
      <c r="E49" s="13">
        <v>2480</v>
      </c>
      <c r="F49" s="29">
        <f t="shared" si="0"/>
        <v>2480</v>
      </c>
      <c r="G49" s="22">
        <v>310</v>
      </c>
      <c r="H49" s="28" t="s">
        <v>47</v>
      </c>
      <c r="I49" s="13"/>
      <c r="J49" s="29">
        <f>IF(G49="",0,IF(I49&gt;0,I49,IF(H49="A",G49,IF(H49="M",G49*12,IF(H49="W",G49*Lookups!B$9,IF(H49="B",G49*+Lookups!B$10,IF(H49="S",G49*2,IF(AND(G49=0,I49&gt;0),I49,"ERROR"))))))))</f>
        <v>3720</v>
      </c>
      <c r="K49" s="26">
        <f t="shared" si="3"/>
        <v>0</v>
      </c>
      <c r="L49" s="27" t="str">
        <f t="shared" si="2"/>
        <v>S</v>
      </c>
      <c r="N49" s="73" t="s">
        <v>453</v>
      </c>
      <c r="O49" s="73" t="s">
        <v>417</v>
      </c>
      <c r="P49" s="74" t="s">
        <v>418</v>
      </c>
      <c r="Q49" s="75">
        <v>53406</v>
      </c>
    </row>
    <row r="50" spans="1:17" x14ac:dyDescent="0.35">
      <c r="A50" s="30" t="s">
        <v>87</v>
      </c>
      <c r="B50" s="4" t="s">
        <v>88</v>
      </c>
      <c r="C50" s="13">
        <v>2652</v>
      </c>
      <c r="D50" s="22">
        <v>2756</v>
      </c>
      <c r="E50" s="13">
        <v>689</v>
      </c>
      <c r="F50" s="29">
        <f t="shared" si="0"/>
        <v>689</v>
      </c>
      <c r="G50" s="22"/>
      <c r="H50" s="28" t="s">
        <v>46</v>
      </c>
      <c r="I50" s="28"/>
      <c r="J50" s="29">
        <f>IF(G50="",0,IF(I50&gt;0,I50,IF(H50="A",G50,IF(H50="M",G50*12,IF(H50="W",G50*Lookups!B$9,IF(H50="B",G50*+Lookups!B$10,IF(H50="S",G50*2,IF(AND(G50=0,I50&gt;0),I50,"ERROR"))))))))</f>
        <v>0</v>
      </c>
      <c r="K50" s="26">
        <f t="shared" si="3"/>
        <v>-2756</v>
      </c>
      <c r="L50" s="27" t="str">
        <f t="shared" si="2"/>
        <v>D</v>
      </c>
    </row>
    <row r="51" spans="1:17" x14ac:dyDescent="0.35">
      <c r="A51" s="30" t="s">
        <v>89</v>
      </c>
      <c r="B51" s="4" t="s">
        <v>90</v>
      </c>
      <c r="C51" s="13">
        <v>6500</v>
      </c>
      <c r="D51" s="22">
        <v>6500</v>
      </c>
      <c r="E51" s="13">
        <v>4875</v>
      </c>
      <c r="F51" s="29">
        <f t="shared" si="0"/>
        <v>6500</v>
      </c>
      <c r="G51" s="22">
        <v>125</v>
      </c>
      <c r="H51" s="28" t="s">
        <v>46</v>
      </c>
      <c r="I51" s="13"/>
      <c r="J51" s="29">
        <f>IF(G51="",0,IF(I51&gt;0,I51,IF(H51="A",G51,IF(H51="M",G51*12,IF(H51="W",G51*Lookups!B$9,IF(H51="B",G51*+Lookups!B$10,IF(H51="S",G51*2,IF(AND(G51=0,I51&gt;0),I51,"ERROR"))))))))</f>
        <v>6625</v>
      </c>
      <c r="K51" s="26">
        <f t="shared" si="3"/>
        <v>125</v>
      </c>
      <c r="L51" s="27" t="str">
        <f t="shared" si="2"/>
        <v>I</v>
      </c>
    </row>
    <row r="52" spans="1:17" x14ac:dyDescent="0.35">
      <c r="A52" s="30" t="s">
        <v>91</v>
      </c>
      <c r="B52" s="4" t="s">
        <v>92</v>
      </c>
      <c r="C52" s="13">
        <v>240</v>
      </c>
      <c r="D52" s="22">
        <v>240</v>
      </c>
      <c r="E52" s="13">
        <v>120</v>
      </c>
      <c r="F52" s="29">
        <f t="shared" si="0"/>
        <v>120</v>
      </c>
      <c r="G52" s="22">
        <v>20</v>
      </c>
      <c r="H52" s="28" t="s">
        <v>47</v>
      </c>
      <c r="I52" s="13"/>
      <c r="J52" s="29">
        <f>IF(G52="",0,IF(I52&gt;0,I52,IF(H52="A",G52,IF(H52="M",G52*12,IF(H52="W",G52*Lookups!B$9,IF(H52="B",G52*+Lookups!B$10,IF(H52="S",G52*2,IF(AND(G52=0,I52&gt;0),I52,"ERROR"))))))))</f>
        <v>240</v>
      </c>
      <c r="K52" s="26">
        <f t="shared" si="3"/>
        <v>0</v>
      </c>
      <c r="L52" s="27" t="str">
        <f t="shared" si="2"/>
        <v>S</v>
      </c>
    </row>
    <row r="53" spans="1:17" x14ac:dyDescent="0.35">
      <c r="A53" s="30" t="s">
        <v>93</v>
      </c>
      <c r="B53" s="4" t="s">
        <v>94</v>
      </c>
      <c r="C53" s="13">
        <v>40</v>
      </c>
      <c r="D53" s="22">
        <v>260</v>
      </c>
      <c r="E53" s="13">
        <v>195</v>
      </c>
      <c r="F53" s="29">
        <f t="shared" si="0"/>
        <v>260</v>
      </c>
      <c r="G53" s="22"/>
      <c r="H53" s="28" t="s">
        <v>46</v>
      </c>
      <c r="I53" s="13"/>
      <c r="J53" s="29">
        <f>IF(G53="",0,IF(I53&gt;0,I53,IF(H53="A",G53,IF(H53="M",G53*12,IF(H53="W",G53*Lookups!B$9,IF(H53="B",G53*+Lookups!B$10,IF(H53="S",G53*2,IF(AND(G53=0,I53&gt;0),I53,"ERROR"))))))))</f>
        <v>0</v>
      </c>
      <c r="K53" s="26">
        <f t="shared" si="3"/>
        <v>-260</v>
      </c>
      <c r="L53" s="27" t="str">
        <f t="shared" ref="L53:L104" si="6">IF(AND(I53&gt;0,D53=0,G53=0),"X",IF(AND(I53&gt;0,D53&gt;0),"E",IF(K53="","",IF(K53=0,"S",IF(AND(K53&gt;0,NOT(D53=0)),"I",IF(AND(K53&gt;0,D53=0),"N",IF(K53&lt;0,"D","ERROR")))))))</f>
        <v>D</v>
      </c>
    </row>
    <row r="54" spans="1:17" x14ac:dyDescent="0.35">
      <c r="A54" s="30" t="s">
        <v>95</v>
      </c>
      <c r="B54" s="4" t="s">
        <v>96</v>
      </c>
      <c r="C54" s="13">
        <v>3110</v>
      </c>
      <c r="D54" s="22">
        <v>3240</v>
      </c>
      <c r="E54" s="13">
        <v>2430</v>
      </c>
      <c r="F54" s="29">
        <f t="shared" si="0"/>
        <v>3240</v>
      </c>
      <c r="G54" s="22">
        <v>300</v>
      </c>
      <c r="H54" s="28" t="s">
        <v>47</v>
      </c>
      <c r="I54" s="13"/>
      <c r="J54" s="29">
        <f>IF(G54="",0,IF(I54&gt;0,I54,IF(H54="A",G54,IF(H54="M",G54*12,IF(H54="W",G54*Lookups!B$9,IF(H54="B",G54*+Lookups!B$10,IF(H54="S",G54*2,IF(AND(G54=0,I54&gt;0),I54,"ERROR"))))))))</f>
        <v>3600</v>
      </c>
      <c r="K54" s="26">
        <f t="shared" si="3"/>
        <v>360</v>
      </c>
      <c r="L54" s="27" t="str">
        <f t="shared" si="6"/>
        <v>I</v>
      </c>
      <c r="M54" s="72" t="s">
        <v>454</v>
      </c>
      <c r="N54" s="73" t="s">
        <v>455</v>
      </c>
      <c r="O54" s="73" t="s">
        <v>417</v>
      </c>
      <c r="P54" s="74" t="s">
        <v>418</v>
      </c>
      <c r="Q54" s="75" t="s">
        <v>456</v>
      </c>
    </row>
    <row r="55" spans="1:17" x14ac:dyDescent="0.35">
      <c r="A55" s="30" t="s">
        <v>97</v>
      </c>
      <c r="B55" s="4" t="s">
        <v>98</v>
      </c>
      <c r="C55" s="13">
        <v>2220</v>
      </c>
      <c r="D55" s="22">
        <v>2280</v>
      </c>
      <c r="E55" s="13">
        <v>1710</v>
      </c>
      <c r="F55" s="29">
        <f t="shared" si="0"/>
        <v>2280</v>
      </c>
      <c r="G55" s="22">
        <v>200</v>
      </c>
      <c r="H55" s="28" t="s">
        <v>47</v>
      </c>
      <c r="I55" s="13"/>
      <c r="J55" s="29">
        <f>IF(G55="",0,IF(I55&gt;0,I55,IF(H55="A",G55,IF(H55="M",G55*12,IF(H55="W",G55*Lookups!B$9,IF(H55="B",G55*+Lookups!B$10,IF(H55="S",G55*2,IF(AND(G55=0,I55&gt;0),I55,"ERROR"))))))))</f>
        <v>2400</v>
      </c>
      <c r="K55" s="26">
        <f t="shared" si="3"/>
        <v>120</v>
      </c>
      <c r="L55" s="27" t="str">
        <f t="shared" si="6"/>
        <v>I</v>
      </c>
      <c r="N55" s="73" t="s">
        <v>457</v>
      </c>
      <c r="O55" s="73" t="s">
        <v>443</v>
      </c>
      <c r="P55" s="74" t="s">
        <v>418</v>
      </c>
      <c r="Q55" s="75" t="s">
        <v>458</v>
      </c>
    </row>
    <row r="56" spans="1:17" x14ac:dyDescent="0.35">
      <c r="A56" s="30" t="s">
        <v>97</v>
      </c>
      <c r="B56" s="4" t="s">
        <v>270</v>
      </c>
      <c r="C56" s="13">
        <v>200</v>
      </c>
      <c r="D56" s="22"/>
      <c r="E56" s="13">
        <v>200</v>
      </c>
      <c r="F56" s="29">
        <f t="shared" si="0"/>
        <v>200</v>
      </c>
      <c r="G56" s="22"/>
      <c r="H56" s="28"/>
      <c r="I56" s="13"/>
      <c r="J56" s="29">
        <f>IF(G56="",0,IF(I56&gt;0,I56,IF(H56="A",G56,IF(H56="M",G56*12,IF(H56="W",G56*Lookups!B$9,IF(H56="B",G56*+Lookups!B$10,IF(H56="S",G56*2,IF(AND(G56=0,I56&gt;0),I56,"ERROR"))))))))</f>
        <v>0</v>
      </c>
      <c r="K56" s="26" t="str">
        <f t="shared" si="3"/>
        <v/>
      </c>
      <c r="L56" s="27" t="str">
        <f>IF(AND(I56&gt;0,D56=0,G56=0),"X",IF(AND(I56&gt;0,D56&gt;0),"E",IF(K56="","",IF(K56=0,"S",IF(AND(K56&gt;0,NOT(D56=0)),"I",IF(AND(K56&gt;0,D56=0),"N",IF(K56&lt;0,"D","ERROR")))))))</f>
        <v/>
      </c>
    </row>
    <row r="57" spans="1:17" x14ac:dyDescent="0.35">
      <c r="A57" s="30" t="s">
        <v>99</v>
      </c>
      <c r="B57" s="4" t="s">
        <v>100</v>
      </c>
      <c r="C57" s="13">
        <v>1300</v>
      </c>
      <c r="D57" s="22">
        <v>2340</v>
      </c>
      <c r="E57" s="13">
        <v>1755</v>
      </c>
      <c r="F57" s="29">
        <f t="shared" si="0"/>
        <v>2340</v>
      </c>
      <c r="G57" s="22">
        <v>50</v>
      </c>
      <c r="H57" s="28" t="s">
        <v>46</v>
      </c>
      <c r="I57" s="13"/>
      <c r="J57" s="29">
        <f>IF(G57="",0,IF(I57&gt;0,I57,IF(H57="A",G57,IF(H57="M",G57*12,IF(H57="W",G57*Lookups!B$9,IF(H57="B",G57*+Lookups!B$10,IF(H57="S",G57*2,IF(AND(G57=0,I57&gt;0),I57,"ERROR"))))))))</f>
        <v>2650</v>
      </c>
      <c r="K57" s="26">
        <f t="shared" si="3"/>
        <v>310</v>
      </c>
      <c r="L57" s="27" t="str">
        <f t="shared" si="6"/>
        <v>I</v>
      </c>
    </row>
    <row r="58" spans="1:17" x14ac:dyDescent="0.35">
      <c r="A58" s="30" t="s">
        <v>101</v>
      </c>
      <c r="B58" s="4" t="s">
        <v>102</v>
      </c>
      <c r="C58" s="13">
        <v>1250</v>
      </c>
      <c r="D58" s="22">
        <v>1560</v>
      </c>
      <c r="E58" s="13">
        <v>780</v>
      </c>
      <c r="F58" s="29">
        <f t="shared" si="0"/>
        <v>780</v>
      </c>
      <c r="G58" s="22">
        <v>35</v>
      </c>
      <c r="H58" s="28" t="s">
        <v>46</v>
      </c>
      <c r="I58" s="13"/>
      <c r="J58" s="29">
        <f>IF(G58="",0,IF(I58&gt;0,I58,IF(H58="A",G58,IF(H58="M",G58*12,IF(H58="W",G58*Lookups!B$9,IF(H58="B",G58*+Lookups!B$10,IF(H58="S",G58*2,IF(AND(G58=0,I58&gt;0),I58,"ERROR"))))))))</f>
        <v>1855</v>
      </c>
      <c r="K58" s="26">
        <f t="shared" si="3"/>
        <v>295</v>
      </c>
      <c r="L58" s="27" t="str">
        <f t="shared" si="6"/>
        <v>I</v>
      </c>
      <c r="N58" s="73" t="s">
        <v>459</v>
      </c>
      <c r="O58" s="73" t="s">
        <v>417</v>
      </c>
      <c r="P58" s="74" t="s">
        <v>418</v>
      </c>
      <c r="Q58" s="75">
        <v>53406</v>
      </c>
    </row>
    <row r="59" spans="1:17" x14ac:dyDescent="0.35">
      <c r="A59" s="30" t="s">
        <v>103</v>
      </c>
      <c r="B59" s="4" t="s">
        <v>29</v>
      </c>
      <c r="C59" s="13">
        <v>3000</v>
      </c>
      <c r="D59" s="22">
        <v>2400</v>
      </c>
      <c r="E59" s="13">
        <v>3743.75</v>
      </c>
      <c r="F59" s="29">
        <f t="shared" si="0"/>
        <v>3743.75</v>
      </c>
      <c r="G59" s="22">
        <v>3000</v>
      </c>
      <c r="H59" s="28" t="s">
        <v>43</v>
      </c>
      <c r="I59" s="13"/>
      <c r="J59" s="29">
        <f>IF(G59="",0,IF(I59&gt;0,I59,IF(H59="A",G59,IF(H59="M",G59*12,IF(H59="W",G59*Lookups!B$9,IF(H59="B",G59*+Lookups!B$10,IF(H59="S",G59*2,IF(AND(G59=0,I59&gt;0),I59,"ERROR"))))))))</f>
        <v>3000</v>
      </c>
      <c r="K59" s="26">
        <f t="shared" si="3"/>
        <v>600</v>
      </c>
      <c r="L59" s="27" t="str">
        <f t="shared" si="6"/>
        <v>I</v>
      </c>
      <c r="M59" s="72" t="s">
        <v>460</v>
      </c>
      <c r="N59" s="73" t="s">
        <v>461</v>
      </c>
      <c r="O59" s="73" t="s">
        <v>443</v>
      </c>
      <c r="P59" s="74" t="s">
        <v>418</v>
      </c>
      <c r="Q59" s="75">
        <v>53402</v>
      </c>
    </row>
    <row r="60" spans="1:17" x14ac:dyDescent="0.35">
      <c r="A60" s="30" t="s">
        <v>104</v>
      </c>
      <c r="B60" s="4" t="s">
        <v>105</v>
      </c>
      <c r="C60" s="13">
        <v>260</v>
      </c>
      <c r="D60" s="22">
        <v>260</v>
      </c>
      <c r="E60" s="13">
        <v>200</v>
      </c>
      <c r="F60" s="29">
        <f t="shared" si="0"/>
        <v>260</v>
      </c>
      <c r="G60" s="22">
        <v>5</v>
      </c>
      <c r="H60" s="28" t="s">
        <v>46</v>
      </c>
      <c r="I60" s="13"/>
      <c r="J60" s="29">
        <f>IF(G60="",0,IF(I60&gt;0,I60,IF(H60="A",G60,IF(H60="M",G60*12,IF(H60="W",G60*Lookups!B$9,IF(H60="B",G60*+Lookups!B$10,IF(H60="S",G60*2,IF(AND(G60=0,I60&gt;0),I60,"ERROR"))))))))</f>
        <v>265</v>
      </c>
      <c r="K60" s="26">
        <f t="shared" si="3"/>
        <v>5</v>
      </c>
      <c r="L60" s="27" t="str">
        <f t="shared" si="6"/>
        <v>I</v>
      </c>
      <c r="M60" s="72" t="s">
        <v>462</v>
      </c>
      <c r="N60" s="73" t="s">
        <v>463</v>
      </c>
      <c r="O60" s="73" t="s">
        <v>443</v>
      </c>
      <c r="P60" s="74" t="s">
        <v>418</v>
      </c>
      <c r="Q60" s="75">
        <v>53402</v>
      </c>
    </row>
    <row r="61" spans="1:17" x14ac:dyDescent="0.35">
      <c r="A61" s="30" t="s">
        <v>271</v>
      </c>
      <c r="B61" s="4" t="s">
        <v>272</v>
      </c>
      <c r="C61" s="13">
        <v>45</v>
      </c>
      <c r="D61" s="22"/>
      <c r="E61" s="13">
        <v>35</v>
      </c>
      <c r="F61" s="29">
        <f t="shared" si="0"/>
        <v>35</v>
      </c>
      <c r="G61" s="22"/>
      <c r="H61" s="28"/>
      <c r="I61" s="13"/>
      <c r="J61" s="29">
        <f>IF(G61="",0,IF(I61&gt;0,I61,IF(H61="A",G61,IF(H61="M",G61*12,IF(H61="W",G61*Lookups!B$9,IF(H61="B",G61*+Lookups!B$10,IF(H61="S",G61*2,IF(AND(G61=0,I61&gt;0),I61,"ERROR"))))))))</f>
        <v>0</v>
      </c>
      <c r="K61" s="26" t="str">
        <f t="shared" si="3"/>
        <v/>
      </c>
      <c r="L61" s="27" t="str">
        <f>IF(AND(I61&gt;0,D61=0,G61=0),"X",IF(AND(I61&gt;0,D61&gt;0),"E",IF(K61="","",IF(K61=0,"S",IF(AND(K61&gt;0,NOT(D61=0)),"I",IF(AND(K61&gt;0,D61=0),"N",IF(K61&lt;0,"D","ERROR")))))))</f>
        <v/>
      </c>
    </row>
    <row r="62" spans="1:17" x14ac:dyDescent="0.35">
      <c r="A62" s="30" t="s">
        <v>106</v>
      </c>
      <c r="B62" s="4" t="s">
        <v>107</v>
      </c>
      <c r="C62" s="13">
        <v>3000</v>
      </c>
      <c r="D62" s="22">
        <v>3600</v>
      </c>
      <c r="E62" s="13">
        <v>2700</v>
      </c>
      <c r="F62" s="29">
        <f t="shared" si="0"/>
        <v>3600</v>
      </c>
      <c r="G62" s="22"/>
      <c r="H62" s="28" t="s">
        <v>47</v>
      </c>
      <c r="I62" s="13">
        <v>3600</v>
      </c>
      <c r="J62" s="29">
        <f>IF(G62="",0,IF(I62&gt;0,I62,IF(H62="A",G62,IF(H62="M",G62*12,IF(H62="W",G62*Lookups!B$9,IF(H62="B",G62*+Lookups!B$10,IF(H62="S",G62*2,IF(AND(G62=0,I62&gt;0),I62,"ERROR"))))))))</f>
        <v>0</v>
      </c>
      <c r="K62" s="26" t="str">
        <f t="shared" si="3"/>
        <v/>
      </c>
      <c r="L62" s="27" t="str">
        <f t="shared" si="6"/>
        <v>E</v>
      </c>
    </row>
    <row r="63" spans="1:17" x14ac:dyDescent="0.35">
      <c r="A63" s="30" t="s">
        <v>273</v>
      </c>
      <c r="B63" s="4" t="s">
        <v>274</v>
      </c>
      <c r="C63" s="13">
        <v>300</v>
      </c>
      <c r="D63" s="22"/>
      <c r="E63" s="13">
        <v>225</v>
      </c>
      <c r="F63" s="29">
        <f t="shared" si="0"/>
        <v>225</v>
      </c>
      <c r="G63" s="22"/>
      <c r="H63" s="28"/>
      <c r="I63" s="13">
        <v>300</v>
      </c>
      <c r="J63" s="29">
        <f>IF(G63="",0,IF(I63&gt;0,I63,IF(H63="A",G63,IF(H63="M",G63*12,IF(H63="W",G63*Lookups!B$9,IF(H63="B",G63*+Lookups!B$10,IF(H63="S",G63*2,IF(AND(G63=0,I63&gt;0),I63,"ERROR"))))))))</f>
        <v>0</v>
      </c>
      <c r="K63" s="26" t="str">
        <f t="shared" si="3"/>
        <v/>
      </c>
      <c r="L63" s="27" t="str">
        <f>IF(AND(I63&gt;0,D63=0,G63=0),"X",IF(AND(I63&gt;0,D63&gt;0),"E",IF(K63="","",IF(K63=0,"S",IF(AND(K63&gt;0,NOT(D63=0)),"I",IF(AND(K63&gt;0,D63=0),"N",IF(K63&lt;0,"D","ERROR")))))))</f>
        <v>X</v>
      </c>
    </row>
    <row r="64" spans="1:17" x14ac:dyDescent="0.35">
      <c r="A64" s="30" t="s">
        <v>275</v>
      </c>
      <c r="B64" s="4" t="s">
        <v>276</v>
      </c>
      <c r="C64" s="13">
        <v>20</v>
      </c>
      <c r="D64" s="22"/>
      <c r="E64" s="13"/>
      <c r="F64" s="29">
        <f t="shared" si="0"/>
        <v>0</v>
      </c>
      <c r="G64" s="22"/>
      <c r="H64" s="28"/>
      <c r="I64" s="13"/>
      <c r="J64" s="29">
        <f>IF(G64="",0,IF(I64&gt;0,I64,IF(H64="A",G64,IF(H64="M",G64*12,IF(H64="W",G64*Lookups!B$9,IF(H64="B",G64*+Lookups!B$10,IF(H64="S",G64*2,IF(AND(G64=0,I64&gt;0),I64,"ERROR"))))))))</f>
        <v>0</v>
      </c>
      <c r="K64" s="26" t="str">
        <f t="shared" si="3"/>
        <v/>
      </c>
      <c r="L64" s="27" t="str">
        <f>IF(AND(I64&gt;0,D64=0,G64=0),"X",IF(AND(I64&gt;0,D64&gt;0),"E",IF(K64="","",IF(K64=0,"S",IF(AND(K64&gt;0,NOT(D64=0)),"I",IF(AND(K64&gt;0,D64=0),"N",IF(K64&lt;0,"D","ERROR")))))))</f>
        <v/>
      </c>
    </row>
    <row r="65" spans="1:17" x14ac:dyDescent="0.35">
      <c r="A65" s="30" t="s">
        <v>387</v>
      </c>
      <c r="B65" s="4" t="s">
        <v>388</v>
      </c>
      <c r="C65" s="13"/>
      <c r="D65" s="22"/>
      <c r="E65" s="13">
        <v>625</v>
      </c>
      <c r="F65" s="29">
        <f t="shared" si="0"/>
        <v>625</v>
      </c>
      <c r="G65" s="22"/>
      <c r="H65" s="28"/>
      <c r="I65" s="13">
        <v>800</v>
      </c>
      <c r="J65" s="29">
        <f>IF(G65="",0,IF(I65&gt;0,I65,IF(H65="A",G65,IF(H65="M",G65*12,IF(H65="W",G65*Lookups!B$9,IF(H65="B",G65*+Lookups!B$10,IF(H65="S",G65*2,IF(AND(G65=0,I65&gt;0),I65,"ERROR"))))))))</f>
        <v>0</v>
      </c>
      <c r="K65" s="26" t="str">
        <f t="shared" si="3"/>
        <v/>
      </c>
      <c r="L65" s="27" t="str">
        <f>IF(AND(I65&gt;0,D65=0,G65=0),"X",IF(AND(I65&gt;0,D65&gt;0),"E",IF(K65="","",IF(K65=0,"S",IF(AND(K65&gt;0,NOT(D65=0)),"I",IF(AND(K65&gt;0,D65=0),"N",IF(K65&lt;0,"D","ERROR")))))))</f>
        <v>X</v>
      </c>
    </row>
    <row r="66" spans="1:17" x14ac:dyDescent="0.35">
      <c r="A66" s="30" t="s">
        <v>108</v>
      </c>
      <c r="B66" s="4" t="s">
        <v>109</v>
      </c>
      <c r="C66" s="13">
        <v>7200</v>
      </c>
      <c r="D66" s="22">
        <v>7200</v>
      </c>
      <c r="E66" s="13">
        <v>5400</v>
      </c>
      <c r="F66" s="29">
        <f t="shared" si="0"/>
        <v>7200</v>
      </c>
      <c r="G66" s="22">
        <v>600</v>
      </c>
      <c r="H66" s="28" t="s">
        <v>47</v>
      </c>
      <c r="I66" s="13"/>
      <c r="J66" s="29">
        <f>IF(G66="",0,IF(I66&gt;0,I66,IF(H66="A",G66,IF(H66="M",G66*12,IF(H66="W",G66*Lookups!B$9,IF(H66="B",G66*+Lookups!B$10,IF(H66="S",G66*2,IF(AND(G66=0,I66&gt;0),I66,"ERROR"))))))))</f>
        <v>7200</v>
      </c>
      <c r="K66" s="26">
        <f t="shared" si="3"/>
        <v>0</v>
      </c>
      <c r="L66" s="27" t="str">
        <f t="shared" si="6"/>
        <v>S</v>
      </c>
    </row>
    <row r="67" spans="1:17" x14ac:dyDescent="0.35">
      <c r="A67" s="30" t="s">
        <v>110</v>
      </c>
      <c r="B67" s="4" t="s">
        <v>111</v>
      </c>
      <c r="C67" s="13">
        <v>280</v>
      </c>
      <c r="D67" s="22">
        <v>1040</v>
      </c>
      <c r="E67" s="13">
        <v>780</v>
      </c>
      <c r="F67" s="29">
        <f t="shared" si="0"/>
        <v>1040</v>
      </c>
      <c r="G67" s="22">
        <v>25</v>
      </c>
      <c r="H67" s="28" t="s">
        <v>46</v>
      </c>
      <c r="I67" s="13"/>
      <c r="J67" s="29">
        <f>IF(G67="",0,IF(I67&gt;0,I67,IF(H67="A",G67,IF(H67="M",G67*12,IF(H67="W",G67*Lookups!B$9,IF(H67="B",G67*+Lookups!B$10,IF(H67="S",G67*2,IF(AND(G67=0,I67&gt;0),I67,"ERROR"))))))))</f>
        <v>1325</v>
      </c>
      <c r="K67" s="26">
        <f t="shared" si="3"/>
        <v>285</v>
      </c>
      <c r="L67" s="27" t="str">
        <f t="shared" si="6"/>
        <v>I</v>
      </c>
      <c r="M67" s="72" t="s">
        <v>464</v>
      </c>
      <c r="N67" s="73" t="s">
        <v>465</v>
      </c>
      <c r="O67" s="73" t="s">
        <v>443</v>
      </c>
      <c r="P67" s="74" t="s">
        <v>418</v>
      </c>
      <c r="Q67" s="75">
        <v>53403</v>
      </c>
    </row>
    <row r="68" spans="1:17" x14ac:dyDescent="0.35">
      <c r="A68" s="30" t="s">
        <v>112</v>
      </c>
      <c r="B68" s="4" t="s">
        <v>22</v>
      </c>
      <c r="C68" s="13">
        <v>670</v>
      </c>
      <c r="D68" s="22">
        <v>720</v>
      </c>
      <c r="E68" s="13">
        <v>540</v>
      </c>
      <c r="F68" s="29">
        <f t="shared" si="0"/>
        <v>720</v>
      </c>
      <c r="G68" s="22">
        <v>65</v>
      </c>
      <c r="H68" s="28" t="s">
        <v>47</v>
      </c>
      <c r="I68" s="13"/>
      <c r="J68" s="29">
        <f>IF(G68="",0,IF(I68&gt;0,I68,IF(H68="A",G68,IF(H68="M",G68*12,IF(H68="W",G68*Lookups!B$9,IF(H68="B",G68*+Lookups!B$10,IF(H68="S",G68*2,IF(AND(G68=0,I68&gt;0),I68,"ERROR"))))))))</f>
        <v>780</v>
      </c>
      <c r="K68" s="26">
        <f t="shared" si="3"/>
        <v>60</v>
      </c>
      <c r="L68" s="27" t="str">
        <f t="shared" si="6"/>
        <v>I</v>
      </c>
      <c r="M68" s="72" t="s">
        <v>466</v>
      </c>
      <c r="N68" s="73" t="s">
        <v>467</v>
      </c>
      <c r="O68" s="73" t="s">
        <v>417</v>
      </c>
      <c r="P68" s="74" t="s">
        <v>418</v>
      </c>
      <c r="Q68" s="75">
        <v>53406</v>
      </c>
    </row>
    <row r="69" spans="1:17" x14ac:dyDescent="0.35">
      <c r="A69" s="30" t="s">
        <v>113</v>
      </c>
      <c r="B69" s="4" t="s">
        <v>114</v>
      </c>
      <c r="C69" s="13">
        <v>2700</v>
      </c>
      <c r="D69" s="22">
        <v>2940</v>
      </c>
      <c r="E69" s="13">
        <v>2030</v>
      </c>
      <c r="F69" s="29">
        <f t="shared" ref="F69:F132" si="7">IF(D69=0,E69,IF(AND(E69=0,H69="A"),D69,IF(E69&gt;D69,E69, IF(E69/D69&gt;0.73,D69,E69))))</f>
        <v>2030</v>
      </c>
      <c r="G69" s="22">
        <v>250</v>
      </c>
      <c r="H69" s="28" t="s">
        <v>47</v>
      </c>
      <c r="I69" s="13"/>
      <c r="J69" s="29">
        <f>IF(G69="",0,IF(I69&gt;0,I69,IF(H69="A",G69,IF(H69="M",G69*12,IF(H69="W",G69*Lookups!B$9,IF(H69="B",G69*+Lookups!B$10,IF(H69="S",G69*2,IF(AND(G69=0,I69&gt;0),I69,"ERROR"))))))))</f>
        <v>3000</v>
      </c>
      <c r="K69" s="26">
        <f t="shared" si="3"/>
        <v>60</v>
      </c>
      <c r="L69" s="27" t="str">
        <f t="shared" si="6"/>
        <v>I</v>
      </c>
      <c r="M69" s="72" t="s">
        <v>468</v>
      </c>
      <c r="N69" s="73" t="s">
        <v>469</v>
      </c>
      <c r="O69" s="73" t="s">
        <v>417</v>
      </c>
      <c r="P69" s="74" t="s">
        <v>418</v>
      </c>
      <c r="Q69" s="75">
        <v>53406</v>
      </c>
    </row>
    <row r="70" spans="1:17" x14ac:dyDescent="0.35">
      <c r="A70" s="30" t="s">
        <v>115</v>
      </c>
      <c r="B70" s="4" t="s">
        <v>470</v>
      </c>
      <c r="C70" s="13">
        <v>2000</v>
      </c>
      <c r="D70" s="22">
        <v>2000</v>
      </c>
      <c r="E70" s="13">
        <v>2000</v>
      </c>
      <c r="F70" s="29">
        <f t="shared" si="7"/>
        <v>2000</v>
      </c>
      <c r="G70" s="22">
        <v>2000</v>
      </c>
      <c r="H70" s="28" t="s">
        <v>43</v>
      </c>
      <c r="I70" s="13"/>
      <c r="J70" s="29">
        <f>IF(G70="",0,IF(I70&gt;0,I70,IF(H70="A",G70,IF(H70="M",G70*12,IF(H70="W",G70*Lookups!B$9,IF(H70="B",G70*+Lookups!B$10,IF(H70="S",G70*2,IF(AND(G70=0,I70&gt;0),I70,"ERROR"))))))))</f>
        <v>2000</v>
      </c>
      <c r="K70" s="26">
        <f t="shared" si="3"/>
        <v>0</v>
      </c>
      <c r="L70" s="27" t="str">
        <f t="shared" si="6"/>
        <v>S</v>
      </c>
      <c r="M70" s="72" t="s">
        <v>471</v>
      </c>
      <c r="N70" s="73" t="s">
        <v>472</v>
      </c>
      <c r="O70" s="73" t="s">
        <v>417</v>
      </c>
      <c r="P70" s="74" t="s">
        <v>418</v>
      </c>
      <c r="Q70" s="75">
        <v>53406</v>
      </c>
    </row>
    <row r="71" spans="1:17" x14ac:dyDescent="0.35">
      <c r="A71" s="30" t="s">
        <v>117</v>
      </c>
      <c r="B71" s="4" t="s">
        <v>118</v>
      </c>
      <c r="C71" s="13">
        <v>729</v>
      </c>
      <c r="D71" s="22">
        <v>728</v>
      </c>
      <c r="E71" s="13">
        <v>556</v>
      </c>
      <c r="F71" s="29">
        <f t="shared" si="7"/>
        <v>728</v>
      </c>
      <c r="G71" s="22">
        <v>754</v>
      </c>
      <c r="H71" s="28" t="s">
        <v>43</v>
      </c>
      <c r="I71" s="13"/>
      <c r="J71" s="29">
        <f>IF(G71="",0,IF(I71&gt;0,I71,IF(H71="A",G71,IF(H71="M",G71*12,IF(H71="W",G71*Lookups!B$9,IF(H71="B",G71*+Lookups!B$10,IF(H71="S",G71*2,IF(AND(G71=0,I71&gt;0),I71,"ERROR"))))))))</f>
        <v>754</v>
      </c>
      <c r="K71" s="26">
        <f t="shared" si="3"/>
        <v>26</v>
      </c>
      <c r="L71" s="27" t="str">
        <f t="shared" si="6"/>
        <v>I</v>
      </c>
    </row>
    <row r="72" spans="1:17" x14ac:dyDescent="0.35">
      <c r="A72" s="30" t="s">
        <v>119</v>
      </c>
      <c r="B72" s="4" t="s">
        <v>120</v>
      </c>
      <c r="C72" s="13">
        <v>4035</v>
      </c>
      <c r="D72" s="22">
        <v>4160</v>
      </c>
      <c r="E72" s="13">
        <v>3040</v>
      </c>
      <c r="F72" s="29">
        <f t="shared" si="7"/>
        <v>4160</v>
      </c>
      <c r="G72" s="22">
        <v>85</v>
      </c>
      <c r="H72" s="28" t="s">
        <v>46</v>
      </c>
      <c r="I72" s="13"/>
      <c r="J72" s="29">
        <f>IF(G72="",0,IF(I72&gt;0,I72,IF(H72="A",G72,IF(H72="M",G72*12,IF(H72="W",G72*Lookups!B$9,IF(H72="B",G72*+Lookups!B$10,IF(H72="S",G72*2,IF(AND(G72=0,I72&gt;0),I72,"ERROR"))))))))</f>
        <v>4505</v>
      </c>
      <c r="K72" s="26">
        <f t="shared" si="3"/>
        <v>345</v>
      </c>
      <c r="L72" s="27" t="str">
        <f t="shared" si="6"/>
        <v>I</v>
      </c>
    </row>
    <row r="73" spans="1:17" x14ac:dyDescent="0.35">
      <c r="A73" s="101" t="s">
        <v>277</v>
      </c>
      <c r="B73" s="102" t="s">
        <v>278</v>
      </c>
      <c r="C73" s="103">
        <v>3050</v>
      </c>
      <c r="D73" s="104"/>
      <c r="E73" s="103"/>
      <c r="F73" s="105">
        <f t="shared" si="7"/>
        <v>0</v>
      </c>
      <c r="G73" s="104"/>
      <c r="H73" s="106"/>
      <c r="I73" s="103"/>
      <c r="J73" s="105">
        <f>IF(G73="",0,IF(I73&gt;0,I73,IF(H73="A",G73,IF(H73="M",G73*12,IF(H73="W",G73*Lookups!B$9,IF(H73="B",G73*+Lookups!B$10,IF(H73="S",G73*2,IF(AND(G73=0,I73&gt;0),I73,"ERROR"))))))))</f>
        <v>0</v>
      </c>
      <c r="K73" s="107" t="str">
        <f t="shared" si="3"/>
        <v/>
      </c>
      <c r="L73" s="108" t="str">
        <f>IF(AND(I73&gt;0,D73=0,G73=0),"X",IF(AND(I73&gt;0,D73&gt;0),"E",IF(K73="","",IF(K73=0,"S",IF(AND(K73&gt;0,NOT(D73=0)),"I",IF(AND(K73&gt;0,D73=0),"N",IF(K73&lt;0,"D","ERROR")))))))</f>
        <v/>
      </c>
      <c r="M73" s="109" t="s">
        <v>533</v>
      </c>
      <c r="N73" s="109"/>
      <c r="O73" s="109"/>
      <c r="P73" s="110"/>
      <c r="Q73" s="111"/>
    </row>
    <row r="74" spans="1:17" x14ac:dyDescent="0.35">
      <c r="A74" s="30" t="s">
        <v>279</v>
      </c>
      <c r="B74" s="4" t="s">
        <v>164</v>
      </c>
      <c r="C74" s="13">
        <v>540</v>
      </c>
      <c r="D74" s="22"/>
      <c r="E74" s="13"/>
      <c r="F74" s="29">
        <f t="shared" si="7"/>
        <v>0</v>
      </c>
      <c r="G74" s="22"/>
      <c r="H74" s="28"/>
      <c r="I74" s="13"/>
      <c r="J74" s="29">
        <f>IF(G74="",0,IF(I74&gt;0,I74,IF(H74="A",G74,IF(H74="M",G74*12,IF(H74="W",G74*Lookups!B$9,IF(H74="B",G74*+Lookups!B$10,IF(H74="S",G74*2,IF(AND(G74=0,I74&gt;0),I74,"ERROR"))))))))</f>
        <v>0</v>
      </c>
      <c r="K74" s="26" t="str">
        <f t="shared" si="3"/>
        <v/>
      </c>
      <c r="L74" s="27" t="str">
        <f>IF(AND(I74&gt;0,D74=0,G74=0),"X",IF(AND(I74&gt;0,D74&gt;0),"E",IF(K74="","",IF(K74=0,"S",IF(AND(K74&gt;0,NOT(D74=0)),"I",IF(AND(K74&gt;0,D74=0),"N",IF(K74&lt;0,"D","ERROR")))))))</f>
        <v/>
      </c>
    </row>
    <row r="75" spans="1:17" x14ac:dyDescent="0.35">
      <c r="A75" s="30" t="s">
        <v>121</v>
      </c>
      <c r="B75" s="4" t="s">
        <v>71</v>
      </c>
      <c r="C75" s="13">
        <v>465</v>
      </c>
      <c r="D75" s="22">
        <v>504</v>
      </c>
      <c r="E75" s="13">
        <v>340</v>
      </c>
      <c r="F75" s="29">
        <f t="shared" si="7"/>
        <v>340</v>
      </c>
      <c r="G75" s="22"/>
      <c r="H75" s="28" t="s">
        <v>47</v>
      </c>
      <c r="I75" s="13">
        <v>400</v>
      </c>
      <c r="J75" s="29">
        <f>IF(G75="",0,IF(I75&gt;0,I75,IF(H75="A",G75,IF(H75="M",G75*12,IF(H75="W",G75*Lookups!B$9,IF(H75="B",G75*+Lookups!B$10,IF(H75="S",G75*2,IF(AND(G75=0,I75&gt;0),I75,"ERROR"))))))))</f>
        <v>0</v>
      </c>
      <c r="K75" s="26" t="str">
        <f t="shared" si="3"/>
        <v/>
      </c>
      <c r="L75" s="27" t="str">
        <f t="shared" si="6"/>
        <v>E</v>
      </c>
    </row>
    <row r="76" spans="1:17" x14ac:dyDescent="0.35">
      <c r="A76" s="101" t="s">
        <v>280</v>
      </c>
      <c r="B76" s="102" t="s">
        <v>281</v>
      </c>
      <c r="C76" s="103">
        <v>3120</v>
      </c>
      <c r="D76" s="104"/>
      <c r="E76" s="103">
        <v>100</v>
      </c>
      <c r="F76" s="105">
        <f t="shared" si="7"/>
        <v>100</v>
      </c>
      <c r="G76" s="104"/>
      <c r="H76" s="106"/>
      <c r="I76" s="103"/>
      <c r="J76" s="105">
        <f>IF(G76="",0,IF(I76&gt;0,I76,IF(H76="A",G76,IF(H76="M",G76*12,IF(H76="W",G76*Lookups!B$9,IF(H76="B",G76*+Lookups!B$10,IF(H76="S",G76*2,IF(AND(G76=0,I76&gt;0),I76,"ERROR"))))))))</f>
        <v>0</v>
      </c>
      <c r="K76" s="107" t="str">
        <f t="shared" si="3"/>
        <v/>
      </c>
      <c r="L76" s="108" t="str">
        <f t="shared" si="6"/>
        <v/>
      </c>
      <c r="M76" s="109" t="s">
        <v>533</v>
      </c>
      <c r="N76" s="109"/>
      <c r="O76" s="109"/>
      <c r="P76" s="110"/>
      <c r="Q76" s="111"/>
    </row>
    <row r="77" spans="1:17" x14ac:dyDescent="0.35">
      <c r="A77" s="30" t="s">
        <v>122</v>
      </c>
      <c r="B77" s="4" t="s">
        <v>123</v>
      </c>
      <c r="C77" s="13">
        <v>3600</v>
      </c>
      <c r="D77" s="22">
        <v>3600</v>
      </c>
      <c r="E77" s="13">
        <v>2700</v>
      </c>
      <c r="F77" s="29">
        <f t="shared" si="7"/>
        <v>3600</v>
      </c>
      <c r="G77" s="22">
        <v>300</v>
      </c>
      <c r="H77" s="28" t="s">
        <v>47</v>
      </c>
      <c r="I77" s="13"/>
      <c r="J77" s="29">
        <f>IF(G77="",0,IF(I77&gt;0,I77,IF(H77="A",G77,IF(H77="M",G77*12,IF(H77="W",G77*Lookups!B$9,IF(H77="B",G77*+Lookups!B$10,IF(H77="S",G77*2,IF(AND(G77=0,I77&gt;0),I77,"ERROR"))))))))</f>
        <v>3600</v>
      </c>
      <c r="K77" s="26">
        <f t="shared" si="3"/>
        <v>0</v>
      </c>
      <c r="L77" s="27" t="str">
        <f t="shared" si="6"/>
        <v>S</v>
      </c>
      <c r="M77" s="72" t="s">
        <v>473</v>
      </c>
    </row>
    <row r="78" spans="1:17" x14ac:dyDescent="0.35">
      <c r="A78" s="30" t="s">
        <v>282</v>
      </c>
      <c r="B78" s="4" t="s">
        <v>283</v>
      </c>
      <c r="C78" s="13">
        <v>295</v>
      </c>
      <c r="D78" s="22"/>
      <c r="E78" s="13">
        <v>60</v>
      </c>
      <c r="F78" s="29">
        <f t="shared" si="7"/>
        <v>60</v>
      </c>
      <c r="G78" s="22"/>
      <c r="H78" s="28"/>
      <c r="I78" s="13"/>
      <c r="J78" s="29">
        <f>IF(G78="",0,IF(I78&gt;0,I78,IF(H78="A",G78,IF(H78="M",G78*12,IF(H78="W",G78*Lookups!B$9,IF(H78="B",G78*+Lookups!B$10,IF(H78="S",G78*2,IF(AND(G78=0,I78&gt;0),I78,"ERROR"))))))))</f>
        <v>0</v>
      </c>
      <c r="K78" s="26" t="str">
        <f t="shared" si="3"/>
        <v/>
      </c>
      <c r="L78" s="27" t="str">
        <f>IF(AND(I78&gt;0,D78=0,G78=0),"X",IF(AND(I78&gt;0,D78&gt;0),"E",IF(K78="","",IF(K78=0,"S",IF(AND(K78&gt;0,NOT(D78=0)),"I",IF(AND(K78&gt;0,D78=0),"N",IF(K78&lt;0,"D","ERROR")))))))</f>
        <v/>
      </c>
    </row>
    <row r="79" spans="1:17" x14ac:dyDescent="0.35">
      <c r="A79" s="30" t="s">
        <v>284</v>
      </c>
      <c r="B79" s="4" t="s">
        <v>285</v>
      </c>
      <c r="C79" s="13">
        <v>80</v>
      </c>
      <c r="D79" s="22"/>
      <c r="E79" s="13">
        <v>20</v>
      </c>
      <c r="F79" s="29">
        <f t="shared" si="7"/>
        <v>20</v>
      </c>
      <c r="G79" s="22"/>
      <c r="H79" s="28"/>
      <c r="I79" s="13"/>
      <c r="J79" s="29">
        <f>IF(G79="",0,IF(I79&gt;0,I79,IF(H79="A",G79,IF(H79="M",G79*12,IF(H79="W",G79*Lookups!B$9,IF(H79="B",G79*+Lookups!B$10,IF(H79="S",G79*2,IF(AND(G79=0,I79&gt;0),I79,"ERROR"))))))))</f>
        <v>0</v>
      </c>
      <c r="K79" s="26" t="str">
        <f t="shared" si="3"/>
        <v/>
      </c>
      <c r="L79" s="27" t="str">
        <f>IF(AND(I79&gt;0,D79=0,G79=0),"X",IF(AND(I79&gt;0,D79&gt;0),"E",IF(K79="","",IF(K79=0,"S",IF(AND(K79&gt;0,NOT(D79=0)),"I",IF(AND(K79&gt;0,D79=0),"N",IF(K79&lt;0,"D","ERROR")))))))</f>
        <v/>
      </c>
    </row>
    <row r="80" spans="1:17" x14ac:dyDescent="0.35">
      <c r="A80" s="30" t="s">
        <v>286</v>
      </c>
      <c r="B80" s="4" t="s">
        <v>287</v>
      </c>
      <c r="C80" s="13">
        <v>900</v>
      </c>
      <c r="D80" s="22"/>
      <c r="E80" s="13">
        <v>675</v>
      </c>
      <c r="F80" s="29">
        <f t="shared" si="7"/>
        <v>675</v>
      </c>
      <c r="G80" s="22"/>
      <c r="H80" s="28"/>
      <c r="I80" s="13">
        <v>700</v>
      </c>
      <c r="J80" s="29">
        <f>IF(G80="",0,IF(I80&gt;0,I80,IF(H80="A",G80,IF(H80="M",G80*12,IF(H80="W",G80*Lookups!B$9,IF(H80="B",G80*+Lookups!B$10,IF(H80="S",G80*2,IF(AND(G80=0,I80&gt;0),I80,"ERROR"))))))))</f>
        <v>0</v>
      </c>
      <c r="K80" s="26" t="str">
        <f t="shared" si="3"/>
        <v/>
      </c>
      <c r="L80" s="27" t="str">
        <f>IF(AND(I80&gt;0,D80=0,G80=0),"X",IF(AND(I80&gt;0,D80&gt;0),"E",IF(K80="","",IF(K80=0,"S",IF(AND(K80&gt;0,NOT(D80=0)),"I",IF(AND(K80&gt;0,D80=0),"N",IF(K80&lt;0,"D","ERROR")))))))</f>
        <v>X</v>
      </c>
    </row>
    <row r="81" spans="1:17" x14ac:dyDescent="0.35">
      <c r="A81" s="30" t="s">
        <v>124</v>
      </c>
      <c r="B81" s="4" t="s">
        <v>125</v>
      </c>
      <c r="C81" s="13">
        <v>1150</v>
      </c>
      <c r="D81" s="22">
        <v>1000</v>
      </c>
      <c r="E81" s="13">
        <v>400</v>
      </c>
      <c r="F81" s="29">
        <f t="shared" si="7"/>
        <v>400</v>
      </c>
      <c r="G81" s="22">
        <v>1200</v>
      </c>
      <c r="H81" s="28" t="s">
        <v>43</v>
      </c>
      <c r="I81" s="13"/>
      <c r="J81" s="29">
        <f>IF(G81="",0,IF(I81&gt;0,I81,IF(H81="A",G81,IF(H81="M",G81*12,IF(H81="W",G81*Lookups!B$9,IF(H81="B",G81*+Lookups!B$10,IF(H81="S",G81*2,IF(AND(G81=0,I81&gt;0),I81,"ERROR"))))))))</f>
        <v>1200</v>
      </c>
      <c r="K81" s="26">
        <f t="shared" si="3"/>
        <v>200</v>
      </c>
      <c r="L81" s="27" t="str">
        <f t="shared" si="6"/>
        <v>I</v>
      </c>
      <c r="M81" s="72" t="s">
        <v>474</v>
      </c>
      <c r="N81" s="73" t="s">
        <v>475</v>
      </c>
      <c r="O81" s="73" t="s">
        <v>417</v>
      </c>
      <c r="P81" s="74" t="s">
        <v>418</v>
      </c>
      <c r="Q81" s="75">
        <v>53406</v>
      </c>
    </row>
    <row r="82" spans="1:17" x14ac:dyDescent="0.35">
      <c r="A82" s="30" t="s">
        <v>126</v>
      </c>
      <c r="B82" s="4" t="s">
        <v>127</v>
      </c>
      <c r="C82" s="13">
        <v>1200</v>
      </c>
      <c r="D82" s="22">
        <v>1200</v>
      </c>
      <c r="E82" s="13">
        <v>600</v>
      </c>
      <c r="F82" s="29">
        <f t="shared" si="7"/>
        <v>600</v>
      </c>
      <c r="G82" s="22">
        <v>100</v>
      </c>
      <c r="H82" s="28" t="s">
        <v>47</v>
      </c>
      <c r="I82" s="13"/>
      <c r="J82" s="29">
        <f>IF(G82="",0,IF(I82&gt;0,I82,IF(H82="A",G82,IF(H82="M",G82*12,IF(H82="W",G82*Lookups!B$9,IF(H82="B",G82*+Lookups!B$10,IF(H82="S",G82*2,IF(AND(G82=0,I82&gt;0),I82,"ERROR"))))))))</f>
        <v>1200</v>
      </c>
      <c r="K82" s="26">
        <f t="shared" si="3"/>
        <v>0</v>
      </c>
      <c r="L82" s="27" t="str">
        <f t="shared" si="6"/>
        <v>S</v>
      </c>
    </row>
    <row r="83" spans="1:17" x14ac:dyDescent="0.35">
      <c r="A83" s="30" t="s">
        <v>128</v>
      </c>
      <c r="B83" s="4" t="s">
        <v>129</v>
      </c>
      <c r="C83" s="13">
        <v>250</v>
      </c>
      <c r="D83" s="22">
        <v>250</v>
      </c>
      <c r="E83" s="13">
        <v>250</v>
      </c>
      <c r="F83" s="29">
        <f t="shared" si="7"/>
        <v>250</v>
      </c>
      <c r="G83" s="22">
        <v>250</v>
      </c>
      <c r="H83" s="28" t="s">
        <v>43</v>
      </c>
      <c r="I83" s="13"/>
      <c r="J83" s="29">
        <f>IF(G83="",0,IF(I83&gt;0,I83,IF(H83="A",G83,IF(H83="M",G83*12,IF(H83="W",G83*Lookups!B$9,IF(H83="B",G83*+Lookups!B$10,IF(H83="S",G83*2,IF(AND(G83=0,I83&gt;0),I83,"ERROR"))))))))</f>
        <v>250</v>
      </c>
      <c r="K83" s="26">
        <f t="shared" si="3"/>
        <v>0</v>
      </c>
      <c r="L83" s="27" t="str">
        <f t="shared" si="6"/>
        <v>S</v>
      </c>
    </row>
    <row r="84" spans="1:17" x14ac:dyDescent="0.35">
      <c r="A84" s="30" t="s">
        <v>130</v>
      </c>
      <c r="B84" s="4" t="s">
        <v>131</v>
      </c>
      <c r="C84" s="13">
        <v>1200</v>
      </c>
      <c r="D84" s="22">
        <v>1200</v>
      </c>
      <c r="E84" s="13">
        <v>1300</v>
      </c>
      <c r="F84" s="29">
        <f t="shared" si="7"/>
        <v>1300</v>
      </c>
      <c r="G84" s="22">
        <v>1200</v>
      </c>
      <c r="H84" s="28" t="s">
        <v>43</v>
      </c>
      <c r="I84" s="13"/>
      <c r="J84" s="29">
        <f>IF(G84="",0,IF(I84&gt;0,I84,IF(H84="A",G84,IF(H84="M",G84*12,IF(H84="W",G84*Lookups!B$9,IF(H84="B",G84*+Lookups!B$10,IF(H84="S",G84*2,IF(AND(G84=0,I84&gt;0),I84,"ERROR"))))))))</f>
        <v>1200</v>
      </c>
      <c r="K84" s="26">
        <f t="shared" si="3"/>
        <v>0</v>
      </c>
      <c r="L84" s="27" t="str">
        <f t="shared" si="6"/>
        <v>S</v>
      </c>
      <c r="M84" s="72" t="s">
        <v>476</v>
      </c>
      <c r="N84" s="73" t="s">
        <v>477</v>
      </c>
      <c r="O84" s="73" t="s">
        <v>417</v>
      </c>
      <c r="P84" s="74" t="s">
        <v>418</v>
      </c>
      <c r="Q84" s="75">
        <v>53406</v>
      </c>
    </row>
    <row r="85" spans="1:17" x14ac:dyDescent="0.35">
      <c r="A85" s="30" t="s">
        <v>132</v>
      </c>
      <c r="B85" s="4" t="s">
        <v>129</v>
      </c>
      <c r="C85" s="13">
        <v>2100</v>
      </c>
      <c r="D85" s="22">
        <v>2280</v>
      </c>
      <c r="E85" s="13">
        <v>1710</v>
      </c>
      <c r="F85" s="29">
        <f t="shared" si="7"/>
        <v>2280</v>
      </c>
      <c r="G85" s="22">
        <v>190</v>
      </c>
      <c r="H85" s="28" t="s">
        <v>47</v>
      </c>
      <c r="I85" s="13"/>
      <c r="J85" s="29">
        <f>IF(G85="",0,IF(I85&gt;0,I85,IF(H85="A",G85,IF(H85="M",G85*12,IF(H85="W",G85*Lookups!B$9,IF(H85="B",G85*+Lookups!B$10,IF(H85="S",G85*2,IF(AND(G85=0,I85&gt;0),I85,"ERROR"))))))))</f>
        <v>2280</v>
      </c>
      <c r="K85" s="26">
        <f t="shared" si="3"/>
        <v>0</v>
      </c>
      <c r="L85" s="27" t="str">
        <f t="shared" si="6"/>
        <v>S</v>
      </c>
      <c r="M85" s="72" t="s">
        <v>478</v>
      </c>
      <c r="N85" s="73" t="s">
        <v>479</v>
      </c>
      <c r="O85" s="73" t="s">
        <v>417</v>
      </c>
      <c r="P85" s="74" t="s">
        <v>418</v>
      </c>
      <c r="Q85" s="75">
        <v>53406</v>
      </c>
    </row>
    <row r="86" spans="1:17" x14ac:dyDescent="0.35">
      <c r="A86" s="30" t="s">
        <v>133</v>
      </c>
      <c r="B86" s="4" t="s">
        <v>134</v>
      </c>
      <c r="C86" s="13">
        <v>4420</v>
      </c>
      <c r="D86" s="22">
        <v>4680</v>
      </c>
      <c r="E86" s="13">
        <v>3510</v>
      </c>
      <c r="F86" s="29">
        <f t="shared" si="7"/>
        <v>4680</v>
      </c>
      <c r="G86" s="22">
        <v>95</v>
      </c>
      <c r="H86" s="28" t="s">
        <v>46</v>
      </c>
      <c r="I86" s="13"/>
      <c r="J86" s="29">
        <f>IF(G86="",0,IF(I86&gt;0,I86,IF(H86="A",G86,IF(H86="M",G86*12,IF(H86="W",G86*Lookups!B$9,IF(H86="B",G86*+Lookups!B$10,IF(H86="S",G86*2,IF(AND(G86=0,I86&gt;0),I86,"ERROR"))))))))</f>
        <v>5035</v>
      </c>
      <c r="K86" s="26">
        <f t="shared" si="3"/>
        <v>355</v>
      </c>
      <c r="L86" s="27" t="str">
        <f t="shared" si="6"/>
        <v>I</v>
      </c>
      <c r="M86" s="72" t="s">
        <v>480</v>
      </c>
      <c r="N86" s="73" t="s">
        <v>481</v>
      </c>
      <c r="O86" s="73" t="s">
        <v>443</v>
      </c>
      <c r="P86" s="74" t="s">
        <v>418</v>
      </c>
      <c r="Q86" s="75">
        <v>53405</v>
      </c>
    </row>
    <row r="87" spans="1:17" x14ac:dyDescent="0.35">
      <c r="A87" s="30" t="s">
        <v>135</v>
      </c>
      <c r="B87" s="4" t="s">
        <v>136</v>
      </c>
      <c r="C87" s="13">
        <v>624</v>
      </c>
      <c r="D87" s="22">
        <v>676</v>
      </c>
      <c r="E87" s="13">
        <v>507</v>
      </c>
      <c r="F87" s="29">
        <f t="shared" si="7"/>
        <v>676</v>
      </c>
      <c r="G87" s="22">
        <v>13</v>
      </c>
      <c r="H87" s="28" t="s">
        <v>46</v>
      </c>
      <c r="I87" s="13"/>
      <c r="J87" s="29">
        <f>IF(G87="",0,IF(I87&gt;0,I87,IF(H87="A",G87,IF(H87="M",G87*12,IF(H87="W",G87*Lookups!B$9,IF(H87="B",G87*+Lookups!B$10,IF(H87="S",G87*2,IF(AND(G87=0,I87&gt;0),I87,"ERROR"))))))))</f>
        <v>689</v>
      </c>
      <c r="K87" s="26">
        <f t="shared" si="3"/>
        <v>13</v>
      </c>
      <c r="L87" s="27" t="str">
        <f t="shared" si="6"/>
        <v>I</v>
      </c>
    </row>
    <row r="88" spans="1:17" x14ac:dyDescent="0.35">
      <c r="A88" s="30" t="s">
        <v>137</v>
      </c>
      <c r="B88" s="4" t="s">
        <v>138</v>
      </c>
      <c r="C88" s="13">
        <v>6500</v>
      </c>
      <c r="D88" s="22">
        <v>7200</v>
      </c>
      <c r="E88" s="13">
        <v>5400</v>
      </c>
      <c r="F88" s="29">
        <f t="shared" si="7"/>
        <v>7200</v>
      </c>
      <c r="G88" s="22">
        <v>600</v>
      </c>
      <c r="H88" s="28" t="s">
        <v>47</v>
      </c>
      <c r="I88" s="13"/>
      <c r="J88" s="29">
        <f>IF(G88="",0,IF(I88&gt;0,I88,IF(H88="A",G88,IF(H88="M",G88*12,IF(H88="W",G88*Lookups!B$9,IF(H88="B",G88*+Lookups!B$10,IF(H88="S",G88*2,IF(AND(G88=0,I88&gt;0),I88,"ERROR"))))))))</f>
        <v>7200</v>
      </c>
      <c r="K88" s="26">
        <f t="shared" ref="K88:K151" si="8">IF(AND(J88=0,D88=0),"",IF(I88&gt;0,"",ROUND(+J88-D88,0)))</f>
        <v>0</v>
      </c>
      <c r="L88" s="27" t="str">
        <f t="shared" si="6"/>
        <v>S</v>
      </c>
      <c r="M88" s="72" t="s">
        <v>482</v>
      </c>
    </row>
    <row r="89" spans="1:17" x14ac:dyDescent="0.35">
      <c r="A89" s="30" t="s">
        <v>137</v>
      </c>
      <c r="B89" s="4" t="s">
        <v>139</v>
      </c>
      <c r="C89" s="13">
        <v>2000</v>
      </c>
      <c r="D89" s="22">
        <v>2500</v>
      </c>
      <c r="E89" s="13"/>
      <c r="F89" s="29">
        <f t="shared" si="7"/>
        <v>2500</v>
      </c>
      <c r="G89" s="22">
        <v>2500</v>
      </c>
      <c r="H89" s="28" t="s">
        <v>43</v>
      </c>
      <c r="I89" s="13"/>
      <c r="J89" s="29">
        <f>IF(G89="",0,IF(I89&gt;0,I89,IF(H89="A",G89,IF(H89="M",G89*12,IF(H89="W",G89*Lookups!B$9,IF(H89="B",G89*+Lookups!B$10,IF(H89="S",G89*2,IF(AND(G89=0,I89&gt;0),I89,"ERROR"))))))))</f>
        <v>2500</v>
      </c>
      <c r="K89" s="26">
        <f t="shared" si="8"/>
        <v>0</v>
      </c>
      <c r="L89" s="27" t="str">
        <f t="shared" si="6"/>
        <v>S</v>
      </c>
      <c r="M89" s="72" t="s">
        <v>483</v>
      </c>
      <c r="N89" s="73" t="s">
        <v>484</v>
      </c>
      <c r="O89" s="73" t="s">
        <v>423</v>
      </c>
      <c r="P89" s="74" t="s">
        <v>418</v>
      </c>
      <c r="Q89" s="75">
        <v>53126</v>
      </c>
    </row>
    <row r="90" spans="1:17" x14ac:dyDescent="0.35">
      <c r="A90" s="30" t="s">
        <v>140</v>
      </c>
      <c r="B90" s="4" t="s">
        <v>141</v>
      </c>
      <c r="C90" s="24">
        <v>20</v>
      </c>
      <c r="D90" s="22">
        <v>20</v>
      </c>
      <c r="E90" s="13">
        <v>35</v>
      </c>
      <c r="F90" s="29">
        <f t="shared" si="7"/>
        <v>35</v>
      </c>
      <c r="G90" s="22"/>
      <c r="H90" s="28" t="s">
        <v>43</v>
      </c>
      <c r="I90" s="13"/>
      <c r="J90" s="29">
        <f>IF(G90="",0,IF(I90&gt;0,I90,IF(H90="A",G90,IF(H90="M",G90*12,IF(H90="W",G90*Lookups!B$9,IF(H90="B",G90*+Lookups!B$10,IF(H90="S",G90*2,IF(AND(G90=0,I90&gt;0),I90,"ERROR"))))))))</f>
        <v>0</v>
      </c>
      <c r="K90" s="26">
        <f t="shared" si="8"/>
        <v>-20</v>
      </c>
      <c r="L90" s="27" t="str">
        <f t="shared" si="6"/>
        <v>D</v>
      </c>
    </row>
    <row r="91" spans="1:17" x14ac:dyDescent="0.35">
      <c r="A91" s="30" t="s">
        <v>288</v>
      </c>
      <c r="B91" s="4" t="s">
        <v>289</v>
      </c>
      <c r="C91" s="24">
        <v>1100</v>
      </c>
      <c r="D91" s="22"/>
      <c r="E91" s="13">
        <v>700</v>
      </c>
      <c r="F91" s="29">
        <f t="shared" si="7"/>
        <v>700</v>
      </c>
      <c r="G91" s="22"/>
      <c r="H91" s="28"/>
      <c r="I91" s="13">
        <v>700</v>
      </c>
      <c r="J91" s="29">
        <f>IF(G91="",0,IF(I91&gt;0,I91,IF(H91="A",G91,IF(H91="M",G91*12,IF(H91="W",G91*Lookups!B$9,IF(H91="B",G91*+Lookups!B$10,IF(H91="S",G91*2,IF(AND(G91=0,I91&gt;0),I91,"ERROR"))))))))</f>
        <v>0</v>
      </c>
      <c r="K91" s="26" t="str">
        <f t="shared" si="8"/>
        <v/>
      </c>
      <c r="L91" s="27" t="str">
        <f t="shared" ref="L91:L97" si="9">IF(AND(I91&gt;0,D91=0,G91=0),"X",IF(AND(I91&gt;0,D91&gt;0),"E",IF(K91="","",IF(K91=0,"S",IF(AND(K91&gt;0,NOT(D91=0)),"I",IF(AND(K91&gt;0,D91=0),"N",IF(K91&lt;0,"D","ERROR")))))))</f>
        <v>X</v>
      </c>
    </row>
    <row r="92" spans="1:17" x14ac:dyDescent="0.35">
      <c r="A92" s="30" t="s">
        <v>288</v>
      </c>
      <c r="B92" s="4" t="s">
        <v>22</v>
      </c>
      <c r="C92" s="24">
        <v>4200</v>
      </c>
      <c r="D92" s="22"/>
      <c r="E92" s="13">
        <v>3100</v>
      </c>
      <c r="F92" s="29">
        <f t="shared" si="7"/>
        <v>3100</v>
      </c>
      <c r="G92" s="22"/>
      <c r="H92" s="28"/>
      <c r="I92" s="13">
        <v>4100</v>
      </c>
      <c r="J92" s="29">
        <f>IF(G92="",0,IF(I92&gt;0,I92,IF(H92="A",G92,IF(H92="M",G92*12,IF(H92="W",G92*Lookups!B$9,IF(H92="B",G92*+Lookups!B$10,IF(H92="S",G92*2,IF(AND(G92=0,I92&gt;0),I92,"ERROR"))))))))</f>
        <v>0</v>
      </c>
      <c r="K92" s="26" t="str">
        <f t="shared" si="8"/>
        <v/>
      </c>
      <c r="L92" s="27" t="str">
        <f t="shared" si="9"/>
        <v>X</v>
      </c>
    </row>
    <row r="93" spans="1:17" x14ac:dyDescent="0.35">
      <c r="A93" s="30" t="s">
        <v>290</v>
      </c>
      <c r="B93" s="4" t="s">
        <v>291</v>
      </c>
      <c r="C93" s="24">
        <v>300</v>
      </c>
      <c r="D93" s="22"/>
      <c r="E93" s="13">
        <v>400</v>
      </c>
      <c r="F93" s="29">
        <f t="shared" si="7"/>
        <v>400</v>
      </c>
      <c r="G93" s="22"/>
      <c r="H93" s="28"/>
      <c r="I93" s="13">
        <v>400</v>
      </c>
      <c r="J93" s="29">
        <f>IF(G93="",0,IF(I93&gt;0,I93,IF(H93="A",G93,IF(H93="M",G93*12,IF(H93="W",G93*Lookups!B$9,IF(H93="B",G93*+Lookups!B$10,IF(H93="S",G93*2,IF(AND(G93=0,I93&gt;0),I93,"ERROR"))))))))</f>
        <v>0</v>
      </c>
      <c r="K93" s="26" t="str">
        <f t="shared" si="8"/>
        <v/>
      </c>
      <c r="L93" s="27" t="str">
        <f t="shared" si="9"/>
        <v>X</v>
      </c>
    </row>
    <row r="94" spans="1:17" x14ac:dyDescent="0.35">
      <c r="A94" s="30" t="s">
        <v>292</v>
      </c>
      <c r="B94" s="4" t="s">
        <v>293</v>
      </c>
      <c r="C94" s="24">
        <v>320</v>
      </c>
      <c r="D94" s="22"/>
      <c r="E94" s="13">
        <v>190</v>
      </c>
      <c r="F94" s="29">
        <f t="shared" si="7"/>
        <v>190</v>
      </c>
      <c r="G94" s="22"/>
      <c r="H94" s="28"/>
      <c r="I94" s="13">
        <v>200</v>
      </c>
      <c r="J94" s="29">
        <f>IF(G94="",0,IF(I94&gt;0,I94,IF(H94="A",G94,IF(H94="M",G94*12,IF(H94="W",G94*Lookups!B$9,IF(H94="B",G94*+Lookups!B$10,IF(H94="S",G94*2,IF(AND(G94=0,I94&gt;0),I94,"ERROR"))))))))</f>
        <v>0</v>
      </c>
      <c r="K94" s="26" t="str">
        <f t="shared" si="8"/>
        <v/>
      </c>
      <c r="L94" s="27" t="str">
        <f t="shared" si="9"/>
        <v>X</v>
      </c>
    </row>
    <row r="95" spans="1:17" x14ac:dyDescent="0.35">
      <c r="A95" s="30" t="s">
        <v>294</v>
      </c>
      <c r="B95" s="4" t="s">
        <v>253</v>
      </c>
      <c r="C95" s="24">
        <v>45</v>
      </c>
      <c r="D95" s="22"/>
      <c r="E95" s="13"/>
      <c r="F95" s="29">
        <f t="shared" si="7"/>
        <v>0</v>
      </c>
      <c r="G95" s="22"/>
      <c r="H95" s="28"/>
      <c r="I95" s="13"/>
      <c r="J95" s="29">
        <f>IF(G95="",0,IF(I95&gt;0,I95,IF(H95="A",G95,IF(H95="M",G95*12,IF(H95="W",G95*Lookups!B$9,IF(H95="B",G95*+Lookups!B$10,IF(H95="S",G95*2,IF(AND(G95=0,I95&gt;0),I95,"ERROR"))))))))</f>
        <v>0</v>
      </c>
      <c r="K95" s="26" t="str">
        <f t="shared" si="8"/>
        <v/>
      </c>
      <c r="L95" s="27" t="str">
        <f t="shared" si="9"/>
        <v/>
      </c>
    </row>
    <row r="96" spans="1:17" x14ac:dyDescent="0.35">
      <c r="A96" s="30" t="s">
        <v>295</v>
      </c>
      <c r="B96" s="4" t="s">
        <v>22</v>
      </c>
      <c r="C96" s="24">
        <v>125</v>
      </c>
      <c r="D96" s="22"/>
      <c r="E96" s="13">
        <v>100</v>
      </c>
      <c r="F96" s="29">
        <f t="shared" si="7"/>
        <v>100</v>
      </c>
      <c r="G96" s="22"/>
      <c r="H96" s="28" t="s">
        <v>43</v>
      </c>
      <c r="I96" s="13">
        <v>100</v>
      </c>
      <c r="J96" s="29">
        <f>IF(G96="",0,IF(I96&gt;0,I96,IF(H96="A",G96,IF(H96="M",G96*12,IF(H96="W",G96*Lookups!B$9,IF(H96="B",G96*+Lookups!B$10,IF(H96="S",G96*2,IF(AND(G96=0,I96&gt;0),I96,"ERROR"))))))))</f>
        <v>0</v>
      </c>
      <c r="K96" s="26" t="str">
        <f t="shared" si="8"/>
        <v/>
      </c>
      <c r="L96" s="27" t="str">
        <f t="shared" si="9"/>
        <v>X</v>
      </c>
    </row>
    <row r="97" spans="1:17" x14ac:dyDescent="0.35">
      <c r="A97" s="30" t="s">
        <v>142</v>
      </c>
      <c r="B97" s="4" t="s">
        <v>296</v>
      </c>
      <c r="C97" s="24">
        <v>600</v>
      </c>
      <c r="D97" s="22"/>
      <c r="E97" s="13">
        <v>450</v>
      </c>
      <c r="F97" s="29">
        <f t="shared" si="7"/>
        <v>450</v>
      </c>
      <c r="G97" s="22"/>
      <c r="H97" s="28"/>
      <c r="I97" s="13">
        <v>400</v>
      </c>
      <c r="J97" s="29">
        <f>IF(G97="",0,IF(I97&gt;0,I97,IF(H97="A",G97,IF(H97="M",G97*12,IF(H97="W",G97*Lookups!B$9,IF(H97="B",G97*+Lookups!B$10,IF(H97="S",G97*2,IF(AND(G97=0,I97&gt;0),I97,"ERROR"))))))))</f>
        <v>0</v>
      </c>
      <c r="K97" s="26" t="str">
        <f t="shared" si="8"/>
        <v/>
      </c>
      <c r="L97" s="27" t="str">
        <f t="shared" si="9"/>
        <v>X</v>
      </c>
    </row>
    <row r="98" spans="1:17" x14ac:dyDescent="0.35">
      <c r="A98" s="30" t="s">
        <v>142</v>
      </c>
      <c r="B98" s="4" t="s">
        <v>143</v>
      </c>
      <c r="C98" s="24">
        <v>180</v>
      </c>
      <c r="D98" s="22">
        <v>240</v>
      </c>
      <c r="E98" s="13">
        <v>180</v>
      </c>
      <c r="F98" s="29">
        <f t="shared" si="7"/>
        <v>240</v>
      </c>
      <c r="G98" s="22">
        <v>25</v>
      </c>
      <c r="H98" s="28" t="s">
        <v>46</v>
      </c>
      <c r="I98" s="13"/>
      <c r="J98" s="29">
        <f>IF(G98="",0,IF(I98&gt;0,I98,IF(H98="A",G98,IF(H98="M",G98*12,IF(H98="W",G98*Lookups!B$9,IF(H98="B",G98*+Lookups!B$10,IF(H98="S",G98*2,IF(AND(G98=0,I98&gt;0),I98,"ERROR"))))))))</f>
        <v>1325</v>
      </c>
      <c r="K98" s="26">
        <f t="shared" si="8"/>
        <v>1085</v>
      </c>
      <c r="L98" s="27" t="str">
        <f t="shared" si="6"/>
        <v>I</v>
      </c>
    </row>
    <row r="99" spans="1:17" x14ac:dyDescent="0.35">
      <c r="A99" s="30" t="s">
        <v>144</v>
      </c>
      <c r="B99" s="4" t="s">
        <v>145</v>
      </c>
      <c r="C99" s="24">
        <v>2118.64</v>
      </c>
      <c r="D99" s="22">
        <v>2200</v>
      </c>
      <c r="E99" s="13">
        <v>1000</v>
      </c>
      <c r="F99" s="29">
        <f t="shared" si="7"/>
        <v>1000</v>
      </c>
      <c r="G99" s="22">
        <v>2200</v>
      </c>
      <c r="H99" s="28" t="s">
        <v>43</v>
      </c>
      <c r="I99" s="13"/>
      <c r="J99" s="29">
        <f>IF(G99="",0,IF(I99&gt;0,I99,IF(H99="A",G99,IF(H99="M",G99*12,IF(H99="W",G99*Lookups!B$9,IF(H99="B",G99*+Lookups!B$10,IF(H99="S",G99*2,IF(AND(G99=0,I99&gt;0),I99,"ERROR"))))))))</f>
        <v>2200</v>
      </c>
      <c r="K99" s="26">
        <f t="shared" si="8"/>
        <v>0</v>
      </c>
      <c r="L99" s="27" t="str">
        <f t="shared" si="6"/>
        <v>S</v>
      </c>
      <c r="M99" s="72" t="s">
        <v>485</v>
      </c>
      <c r="N99" s="73" t="s">
        <v>486</v>
      </c>
      <c r="O99" s="73" t="s">
        <v>443</v>
      </c>
      <c r="P99" s="74" t="s">
        <v>418</v>
      </c>
      <c r="Q99" s="75">
        <v>53406</v>
      </c>
    </row>
    <row r="100" spans="1:17" x14ac:dyDescent="0.35">
      <c r="A100" s="30" t="s">
        <v>146</v>
      </c>
      <c r="B100" s="4" t="s">
        <v>147</v>
      </c>
      <c r="C100" s="24">
        <v>1350</v>
      </c>
      <c r="D100" s="22">
        <v>1200</v>
      </c>
      <c r="E100" s="13">
        <v>800</v>
      </c>
      <c r="F100" s="29">
        <f t="shared" si="7"/>
        <v>800</v>
      </c>
      <c r="G100" s="22">
        <v>100</v>
      </c>
      <c r="H100" s="28" t="s">
        <v>47</v>
      </c>
      <c r="I100" s="13"/>
      <c r="J100" s="29">
        <f>IF(G100="",0,IF(I100&gt;0,I100,IF(H100="A",G100,IF(H100="M",G100*12,IF(H100="W",G100*Lookups!B$9,IF(H100="B",G100*+Lookups!B$10,IF(H100="S",G100*2,IF(AND(G100=0,I100&gt;0),I100,"ERROR"))))))))</f>
        <v>1200</v>
      </c>
      <c r="K100" s="26">
        <f t="shared" si="8"/>
        <v>0</v>
      </c>
      <c r="L100" s="27" t="str">
        <f t="shared" si="6"/>
        <v>S</v>
      </c>
      <c r="N100" s="73" t="s">
        <v>487</v>
      </c>
      <c r="O100" s="73" t="s">
        <v>443</v>
      </c>
      <c r="P100" s="74" t="s">
        <v>418</v>
      </c>
      <c r="Q100" s="75">
        <v>53402</v>
      </c>
    </row>
    <row r="101" spans="1:17" x14ac:dyDescent="0.35">
      <c r="A101" s="30" t="s">
        <v>297</v>
      </c>
      <c r="B101" s="4" t="s">
        <v>298</v>
      </c>
      <c r="C101" s="24">
        <v>600</v>
      </c>
      <c r="D101" s="22"/>
      <c r="E101" s="13">
        <v>540</v>
      </c>
      <c r="F101" s="29">
        <f t="shared" si="7"/>
        <v>540</v>
      </c>
      <c r="G101" s="22"/>
      <c r="H101" s="28"/>
      <c r="I101" s="13">
        <v>600</v>
      </c>
      <c r="J101" s="29">
        <f>IF(G101="",0,IF(I101&gt;0,I101,IF(H101="A",G101,IF(H101="M",G101*12,IF(H101="W",G101*Lookups!B$9,IF(H101="B",G101*+Lookups!B$10,IF(H101="S",G101*2,IF(AND(G101=0,I101&gt;0),I101,"ERROR"))))))))</f>
        <v>0</v>
      </c>
      <c r="K101" s="26" t="str">
        <f t="shared" si="8"/>
        <v/>
      </c>
      <c r="L101" s="27" t="str">
        <f>IF(AND(I101&gt;0,D101=0,G101=0),"X",IF(AND(I101&gt;0,D101&gt;0),"E",IF(K101="","",IF(K101=0,"S",IF(AND(K101&gt;0,NOT(D101=0)),"I",IF(AND(K101&gt;0,D101=0),"N",IF(K101&lt;0,"D","ERROR")))))))</f>
        <v>X</v>
      </c>
    </row>
    <row r="102" spans="1:17" x14ac:dyDescent="0.35">
      <c r="A102" s="30" t="s">
        <v>148</v>
      </c>
      <c r="B102" s="4" t="s">
        <v>149</v>
      </c>
      <c r="C102" s="24">
        <v>920</v>
      </c>
      <c r="D102" s="22">
        <v>900</v>
      </c>
      <c r="E102" s="13">
        <v>675</v>
      </c>
      <c r="F102" s="29">
        <f t="shared" si="7"/>
        <v>900</v>
      </c>
      <c r="G102" s="22">
        <v>75</v>
      </c>
      <c r="H102" s="28" t="s">
        <v>47</v>
      </c>
      <c r="I102" s="13"/>
      <c r="J102" s="29">
        <f>IF(G102="",0,IF(I102&gt;0,I102,IF(H102="A",G102,IF(H102="M",G102*12,IF(H102="W",G102*Lookups!B$9,IF(H102="B",G102*+Lookups!B$10,IF(H102="S",G102*2,IF(AND(G102=0,I102&gt;0),I102,"ERROR"))))))))</f>
        <v>900</v>
      </c>
      <c r="K102" s="26">
        <f t="shared" si="8"/>
        <v>0</v>
      </c>
      <c r="L102" s="27" t="str">
        <f t="shared" si="6"/>
        <v>S</v>
      </c>
    </row>
    <row r="103" spans="1:17" x14ac:dyDescent="0.35">
      <c r="A103" s="30" t="s">
        <v>299</v>
      </c>
      <c r="B103" s="4" t="s">
        <v>300</v>
      </c>
      <c r="C103" s="24">
        <v>100</v>
      </c>
      <c r="D103" s="22"/>
      <c r="E103" s="13"/>
      <c r="F103" s="29">
        <f t="shared" si="7"/>
        <v>0</v>
      </c>
      <c r="G103" s="22"/>
      <c r="H103" s="28"/>
      <c r="I103" s="13"/>
      <c r="J103" s="29">
        <f>IF(G103="",0,IF(I103&gt;0,I103,IF(H103="A",G103,IF(H103="M",G103*12,IF(H103="W",G103*Lookups!B$9,IF(H103="B",G103*+Lookups!B$10,IF(H103="S",G103*2,IF(AND(G103=0,I103&gt;0),I103,"ERROR"))))))))</f>
        <v>0</v>
      </c>
      <c r="K103" s="26" t="str">
        <f t="shared" si="8"/>
        <v/>
      </c>
      <c r="L103" s="27" t="str">
        <f>IF(AND(I103&gt;0,D103=0,G103=0),"X",IF(AND(I103&gt;0,D103&gt;0),"E",IF(K103="","",IF(K103=0,"S",IF(AND(K103&gt;0,NOT(D103=0)),"I",IF(AND(K103&gt;0,D103=0),"N",IF(K103&lt;0,"D","ERROR")))))))</f>
        <v/>
      </c>
    </row>
    <row r="104" spans="1:17" x14ac:dyDescent="0.35">
      <c r="A104" s="30" t="s">
        <v>150</v>
      </c>
      <c r="B104" s="4" t="s">
        <v>151</v>
      </c>
      <c r="C104" s="24">
        <v>290</v>
      </c>
      <c r="D104" s="22">
        <v>840</v>
      </c>
      <c r="E104" s="13">
        <v>735</v>
      </c>
      <c r="F104" s="29">
        <f t="shared" si="7"/>
        <v>840</v>
      </c>
      <c r="G104" s="22"/>
      <c r="H104" s="28" t="s">
        <v>47</v>
      </c>
      <c r="I104" s="13">
        <v>800</v>
      </c>
      <c r="J104" s="29">
        <f>IF(G104="",0,IF(I104&gt;0,I104,IF(H104="A",G104,IF(H104="M",G104*12,IF(H104="W",G104*Lookups!B$9,IF(H104="B",G104*+Lookups!B$10,IF(H104="S",G104*2,IF(AND(G104=0,I104&gt;0),I104,"ERROR"))))))))</f>
        <v>0</v>
      </c>
      <c r="K104" s="26" t="str">
        <f t="shared" si="8"/>
        <v/>
      </c>
      <c r="L104" s="27" t="str">
        <f t="shared" si="6"/>
        <v>E</v>
      </c>
    </row>
    <row r="105" spans="1:17" x14ac:dyDescent="0.35">
      <c r="A105" s="30" t="s">
        <v>152</v>
      </c>
      <c r="B105" s="4" t="s">
        <v>153</v>
      </c>
      <c r="C105" s="24">
        <v>1400</v>
      </c>
      <c r="D105" s="22">
        <v>1400</v>
      </c>
      <c r="E105" s="13">
        <v>1400</v>
      </c>
      <c r="F105" s="29">
        <f t="shared" si="7"/>
        <v>1400</v>
      </c>
      <c r="G105" s="22">
        <v>1500</v>
      </c>
      <c r="H105" s="28" t="s">
        <v>43</v>
      </c>
      <c r="I105" s="13"/>
      <c r="J105" s="29">
        <f>IF(G105="",0,IF(I105&gt;0,I105,IF(H105="A",G105,IF(H105="M",G105*12,IF(H105="W",G105*Lookups!B$9,IF(H105="B",G105*+Lookups!B$10,IF(H105="S",G105*2,IF(AND(G105=0,I105&gt;0),I105,"ERROR"))))))))</f>
        <v>1500</v>
      </c>
      <c r="K105" s="26">
        <f t="shared" si="8"/>
        <v>100</v>
      </c>
      <c r="L105" s="27" t="str">
        <f t="shared" ref="L105:L136" si="10">IF(AND(I105&gt;0,D105=0,G105=0),"X",IF(AND(I105&gt;0,D105&gt;0),"E",IF(K105="","",IF(K105=0,"S",IF(AND(K105&gt;0,NOT(D105=0)),"I",IF(AND(K105&gt;0,D105=0),"N",IF(K105&lt;0,"D","ERROR")))))))</f>
        <v>I</v>
      </c>
    </row>
    <row r="106" spans="1:17" x14ac:dyDescent="0.35">
      <c r="A106" s="30" t="s">
        <v>154</v>
      </c>
      <c r="B106" s="4" t="s">
        <v>155</v>
      </c>
      <c r="C106" s="24">
        <v>2650</v>
      </c>
      <c r="D106" s="22">
        <v>2860</v>
      </c>
      <c r="E106" s="13">
        <v>2090</v>
      </c>
      <c r="F106" s="29">
        <f t="shared" si="7"/>
        <v>2860</v>
      </c>
      <c r="G106" s="22">
        <v>60</v>
      </c>
      <c r="H106" s="28" t="s">
        <v>46</v>
      </c>
      <c r="I106" s="13"/>
      <c r="J106" s="29">
        <f>IF(G106="",0,IF(I106&gt;0,I106,IF(H106="A",G106,IF(H106="M",G106*12,IF(H106="W",G106*Lookups!B$9,IF(H106="B",G106*+Lookups!B$10,IF(H106="S",G106*2,IF(AND(G106=0,I106&gt;0),I106,"ERROR"))))))))</f>
        <v>3180</v>
      </c>
      <c r="K106" s="26">
        <f t="shared" si="8"/>
        <v>320</v>
      </c>
      <c r="L106" s="27" t="str">
        <f t="shared" si="10"/>
        <v>I</v>
      </c>
      <c r="N106" s="73" t="s">
        <v>488</v>
      </c>
      <c r="O106" s="73" t="s">
        <v>443</v>
      </c>
      <c r="P106" s="74" t="s">
        <v>418</v>
      </c>
      <c r="Q106" s="75">
        <v>53405</v>
      </c>
    </row>
    <row r="107" spans="1:17" x14ac:dyDescent="0.35">
      <c r="A107" s="30" t="s">
        <v>156</v>
      </c>
      <c r="B107" s="4" t="s">
        <v>116</v>
      </c>
      <c r="C107" s="24">
        <v>4260</v>
      </c>
      <c r="D107" s="22">
        <v>4380</v>
      </c>
      <c r="E107" s="13">
        <v>3285</v>
      </c>
      <c r="F107" s="29">
        <f t="shared" si="7"/>
        <v>4380</v>
      </c>
      <c r="G107" s="22">
        <v>365</v>
      </c>
      <c r="H107" s="28" t="s">
        <v>47</v>
      </c>
      <c r="I107" s="13"/>
      <c r="J107" s="29">
        <f>IF(G107="",0,IF(I107&gt;0,I107,IF(H107="A",G107,IF(H107="M",G107*12,IF(H107="W",G107*Lookups!B$9,IF(H107="B",G107*+Lookups!B$10,IF(H107="S",G107*2,IF(AND(G107=0,I107&gt;0),I107,"ERROR"))))))))</f>
        <v>4380</v>
      </c>
      <c r="K107" s="26">
        <f t="shared" si="8"/>
        <v>0</v>
      </c>
      <c r="L107" s="27" t="str">
        <f t="shared" si="10"/>
        <v>S</v>
      </c>
    </row>
    <row r="108" spans="1:17" x14ac:dyDescent="0.35">
      <c r="A108" s="30" t="s">
        <v>301</v>
      </c>
      <c r="B108" s="4" t="s">
        <v>302</v>
      </c>
      <c r="C108" s="24">
        <v>350</v>
      </c>
      <c r="D108" s="22"/>
      <c r="E108" s="13">
        <v>70</v>
      </c>
      <c r="F108" s="29">
        <f t="shared" si="7"/>
        <v>70</v>
      </c>
      <c r="G108" s="22"/>
      <c r="H108" s="28"/>
      <c r="I108" s="13"/>
      <c r="J108" s="29">
        <f>IF(G108="",0,IF(I108&gt;0,I108,IF(H108="A",G108,IF(H108="M",G108*12,IF(H108="W",G108*Lookups!B$9,IF(H108="B",G108*+Lookups!B$10,IF(H108="S",G108*2,IF(AND(G108=0,I108&gt;0),I108,"ERROR"))))))))</f>
        <v>0</v>
      </c>
      <c r="K108" s="26" t="str">
        <f t="shared" si="8"/>
        <v/>
      </c>
      <c r="L108" s="27" t="str">
        <f t="shared" si="10"/>
        <v/>
      </c>
    </row>
    <row r="109" spans="1:17" x14ac:dyDescent="0.35">
      <c r="A109" s="30" t="s">
        <v>157</v>
      </c>
      <c r="B109" s="4" t="s">
        <v>158</v>
      </c>
      <c r="C109" s="24">
        <v>700</v>
      </c>
      <c r="D109" s="22">
        <v>600</v>
      </c>
      <c r="E109" s="13">
        <v>400</v>
      </c>
      <c r="F109" s="29">
        <f t="shared" si="7"/>
        <v>400</v>
      </c>
      <c r="G109" s="22"/>
      <c r="H109" s="28" t="s">
        <v>47</v>
      </c>
      <c r="I109" s="13">
        <v>500</v>
      </c>
      <c r="J109" s="29">
        <f>IF(G109="",0,IF(I109&gt;0,I109,IF(H109="A",G109,IF(H109="M",G109*12,IF(H109="W",G109*Lookups!B$9,IF(H109="B",G109*+Lookups!B$10,IF(H109="S",G109*2,IF(AND(G109=0,I109&gt;0),I109,"ERROR"))))))))</f>
        <v>0</v>
      </c>
      <c r="K109" s="26" t="str">
        <f t="shared" si="8"/>
        <v/>
      </c>
      <c r="L109" s="27" t="str">
        <f t="shared" si="10"/>
        <v>E</v>
      </c>
    </row>
    <row r="110" spans="1:17" x14ac:dyDescent="0.35">
      <c r="A110" s="30" t="s">
        <v>159</v>
      </c>
      <c r="B110" s="4" t="s">
        <v>160</v>
      </c>
      <c r="C110" s="24">
        <v>1390</v>
      </c>
      <c r="D110" s="22">
        <v>1300</v>
      </c>
      <c r="E110" s="13">
        <v>1045</v>
      </c>
      <c r="F110" s="29">
        <f t="shared" si="7"/>
        <v>1300</v>
      </c>
      <c r="G110" s="22">
        <v>25</v>
      </c>
      <c r="H110" s="28" t="s">
        <v>46</v>
      </c>
      <c r="I110" s="13"/>
      <c r="J110" s="29">
        <f>IF(G110="",0,IF(I110&gt;0,I110,IF(H110="A",G110,IF(H110="M",G110*12,IF(H110="W",G110*Lookups!B$9,IF(H110="B",G110*+Lookups!B$10,IF(H110="S",G110*2,IF(AND(G110=0,I110&gt;0),I110,"ERROR"))))))))</f>
        <v>1325</v>
      </c>
      <c r="K110" s="26">
        <f t="shared" si="8"/>
        <v>25</v>
      </c>
      <c r="L110" s="27" t="str">
        <f t="shared" si="10"/>
        <v>I</v>
      </c>
    </row>
    <row r="111" spans="1:17" x14ac:dyDescent="0.35">
      <c r="A111" s="30" t="s">
        <v>389</v>
      </c>
      <c r="B111" s="4" t="s">
        <v>390</v>
      </c>
      <c r="C111" s="24"/>
      <c r="D111" s="22"/>
      <c r="E111" s="13">
        <v>40</v>
      </c>
      <c r="F111" s="29">
        <f t="shared" si="7"/>
        <v>40</v>
      </c>
      <c r="G111" s="22"/>
      <c r="H111" s="28"/>
      <c r="I111" s="13"/>
      <c r="J111" s="29">
        <f>IF(G111="",0,IF(I111&gt;0,I111,IF(H111="A",G111,IF(H111="M",G111*12,IF(H111="W",G111*Lookups!B$9,IF(H111="B",G111*+Lookups!B$10,IF(H111="S",G111*2,IF(AND(G111=0,I111&gt;0),I111,"ERROR"))))))))</f>
        <v>0</v>
      </c>
      <c r="K111" s="26" t="str">
        <f t="shared" si="8"/>
        <v/>
      </c>
      <c r="L111" s="27" t="str">
        <f t="shared" si="10"/>
        <v/>
      </c>
    </row>
    <row r="112" spans="1:17" x14ac:dyDescent="0.35">
      <c r="A112" s="30" t="s">
        <v>161</v>
      </c>
      <c r="B112" s="4" t="s">
        <v>303</v>
      </c>
      <c r="C112" s="24">
        <v>960</v>
      </c>
      <c r="D112" s="22"/>
      <c r="E112" s="13">
        <v>955</v>
      </c>
      <c r="F112" s="29">
        <f t="shared" si="7"/>
        <v>955</v>
      </c>
      <c r="G112" s="22"/>
      <c r="H112" s="28"/>
      <c r="I112" s="13">
        <v>900</v>
      </c>
      <c r="J112" s="29">
        <f>IF(G112="",0,IF(I112&gt;0,I112,IF(H112="A",G112,IF(H112="M",G112*12,IF(H112="W",G112*Lookups!B$9,IF(H112="B",G112*+Lookups!B$10,IF(H112="S",G112*2,IF(AND(G112=0,I112&gt;0),I112,"ERROR"))))))))</f>
        <v>0</v>
      </c>
      <c r="K112" s="26" t="str">
        <f t="shared" si="8"/>
        <v/>
      </c>
      <c r="L112" s="27" t="str">
        <f t="shared" si="10"/>
        <v>X</v>
      </c>
    </row>
    <row r="113" spans="1:18" x14ac:dyDescent="0.35">
      <c r="A113" s="30" t="s">
        <v>161</v>
      </c>
      <c r="B113" s="4" t="s">
        <v>162</v>
      </c>
      <c r="C113" s="24">
        <v>7420</v>
      </c>
      <c r="D113" s="22">
        <v>7800</v>
      </c>
      <c r="E113" s="13">
        <v>5850</v>
      </c>
      <c r="F113" s="29">
        <f t="shared" si="7"/>
        <v>7800</v>
      </c>
      <c r="G113" s="22">
        <v>150</v>
      </c>
      <c r="H113" s="28" t="s">
        <v>46</v>
      </c>
      <c r="I113" s="13"/>
      <c r="J113" s="29">
        <f>IF(G113="",0,IF(I113&gt;0,I113,IF(H113="A",G113,IF(H113="M",G113*12,IF(H113="W",G113*Lookups!B$9,IF(H113="B",G113*+Lookups!B$10,IF(H113="S",G113*2,IF(AND(G113=0,I113&gt;0),I113,"ERROR"))))))))</f>
        <v>7950</v>
      </c>
      <c r="K113" s="26">
        <f t="shared" si="8"/>
        <v>150</v>
      </c>
      <c r="L113" s="27" t="str">
        <f t="shared" si="10"/>
        <v>I</v>
      </c>
      <c r="M113" s="72" t="s">
        <v>489</v>
      </c>
      <c r="N113" s="73" t="s">
        <v>490</v>
      </c>
      <c r="O113" s="73" t="s">
        <v>491</v>
      </c>
      <c r="P113" s="74" t="s">
        <v>418</v>
      </c>
      <c r="Q113" s="75">
        <v>53154</v>
      </c>
      <c r="R113" s="73" t="s">
        <v>529</v>
      </c>
    </row>
    <row r="114" spans="1:18" x14ac:dyDescent="0.35">
      <c r="A114" s="30" t="s">
        <v>304</v>
      </c>
      <c r="B114" s="4" t="s">
        <v>305</v>
      </c>
      <c r="C114" s="24">
        <v>600</v>
      </c>
      <c r="D114" s="22"/>
      <c r="E114" s="13">
        <v>400</v>
      </c>
      <c r="F114" s="29">
        <f t="shared" si="7"/>
        <v>400</v>
      </c>
      <c r="G114" s="22"/>
      <c r="H114" s="28"/>
      <c r="I114" s="13">
        <v>400</v>
      </c>
      <c r="J114" s="29">
        <f>IF(G114="",0,IF(I114&gt;0,I114,IF(H114="A",G114,IF(H114="M",G114*12,IF(H114="W",G114*Lookups!B$9,IF(H114="B",G114*+Lookups!B$10,IF(H114="S",G114*2,IF(AND(G114=0,I114&gt;0),I114,"ERROR"))))))))</f>
        <v>0</v>
      </c>
      <c r="K114" s="26" t="str">
        <f t="shared" si="8"/>
        <v/>
      </c>
      <c r="L114" s="27" t="str">
        <f t="shared" si="10"/>
        <v>X</v>
      </c>
    </row>
    <row r="115" spans="1:18" x14ac:dyDescent="0.35">
      <c r="A115" s="30" t="s">
        <v>306</v>
      </c>
      <c r="B115" s="4" t="s">
        <v>307</v>
      </c>
      <c r="C115" s="24">
        <v>600</v>
      </c>
      <c r="D115" s="22"/>
      <c r="E115" s="13">
        <v>450</v>
      </c>
      <c r="F115" s="29">
        <f t="shared" si="7"/>
        <v>450</v>
      </c>
      <c r="G115" s="22"/>
      <c r="H115" s="28"/>
      <c r="I115" s="13">
        <v>400</v>
      </c>
      <c r="J115" s="29">
        <f>IF(G115="",0,IF(I115&gt;0,I115,IF(H115="A",G115,IF(H115="M",G115*12,IF(H115="W",G115*Lookups!B$9,IF(H115="B",G115*+Lookups!B$10,IF(H115="S",G115*2,IF(AND(G115=0,I115&gt;0),I115,"ERROR"))))))))</f>
        <v>0</v>
      </c>
      <c r="K115" s="26" t="str">
        <f t="shared" si="8"/>
        <v/>
      </c>
      <c r="L115" s="27" t="str">
        <f t="shared" si="10"/>
        <v>X</v>
      </c>
    </row>
    <row r="116" spans="1:18" x14ac:dyDescent="0.35">
      <c r="A116" s="30" t="s">
        <v>308</v>
      </c>
      <c r="B116" s="4" t="s">
        <v>309</v>
      </c>
      <c r="C116" s="24">
        <v>2580</v>
      </c>
      <c r="D116" s="22"/>
      <c r="E116" s="13">
        <v>500</v>
      </c>
      <c r="F116" s="29">
        <f t="shared" si="7"/>
        <v>500</v>
      </c>
      <c r="G116" s="22"/>
      <c r="H116" s="28"/>
      <c r="I116" s="13">
        <v>400</v>
      </c>
      <c r="J116" s="29">
        <f>IF(G116="",0,IF(I116&gt;0,I116,IF(H116="A",G116,IF(H116="M",G116*12,IF(H116="W",G116*Lookups!B$9,IF(H116="B",G116*+Lookups!B$10,IF(H116="S",G116*2,IF(AND(G116=0,I116&gt;0),I116,"ERROR"))))))))</f>
        <v>0</v>
      </c>
      <c r="K116" s="26" t="str">
        <f t="shared" si="8"/>
        <v/>
      </c>
      <c r="L116" s="27" t="str">
        <f t="shared" si="10"/>
        <v>X</v>
      </c>
    </row>
    <row r="117" spans="1:18" x14ac:dyDescent="0.35">
      <c r="A117" s="30" t="s">
        <v>391</v>
      </c>
      <c r="B117" s="4" t="s">
        <v>392</v>
      </c>
      <c r="C117" s="24"/>
      <c r="D117" s="22"/>
      <c r="E117" s="13">
        <v>100</v>
      </c>
      <c r="F117" s="29">
        <f t="shared" si="7"/>
        <v>100</v>
      </c>
      <c r="G117" s="22"/>
      <c r="H117" s="28"/>
      <c r="I117" s="13"/>
      <c r="J117" s="29">
        <f>IF(G117="",0,IF(I117&gt;0,I117,IF(H117="A",G117,IF(H117="M",G117*12,IF(H117="W",G117*Lookups!B$9,IF(H117="B",G117*+Lookups!B$10,IF(H117="S",G117*2,IF(AND(G117=0,I117&gt;0),I117,"ERROR"))))))))</f>
        <v>0</v>
      </c>
      <c r="K117" s="26" t="str">
        <f t="shared" si="8"/>
        <v/>
      </c>
      <c r="L117" s="27" t="str">
        <f t="shared" si="10"/>
        <v/>
      </c>
    </row>
    <row r="118" spans="1:18" x14ac:dyDescent="0.35">
      <c r="A118" s="30" t="s">
        <v>163</v>
      </c>
      <c r="B118" s="4" t="s">
        <v>164</v>
      </c>
      <c r="C118" s="24">
        <v>1125</v>
      </c>
      <c r="D118" s="22">
        <v>1040</v>
      </c>
      <c r="E118" s="13">
        <v>750</v>
      </c>
      <c r="F118" s="29">
        <f t="shared" si="7"/>
        <v>750</v>
      </c>
      <c r="G118" s="22"/>
      <c r="H118" s="28" t="s">
        <v>46</v>
      </c>
      <c r="I118" s="13">
        <v>1000</v>
      </c>
      <c r="J118" s="29">
        <f>IF(G118="",0,IF(I118&gt;0,I118,IF(H118="A",G118,IF(H118="M",G118*12,IF(H118="W",G118*Lookups!B$9,IF(H118="B",G118*+Lookups!B$10,IF(H118="S",G118*2,IF(AND(G118=0,I118&gt;0),I118,"ERROR"))))))))</f>
        <v>0</v>
      </c>
      <c r="K118" s="26" t="str">
        <f t="shared" si="8"/>
        <v/>
      </c>
      <c r="L118" s="27" t="str">
        <f t="shared" si="10"/>
        <v>E</v>
      </c>
    </row>
    <row r="119" spans="1:18" x14ac:dyDescent="0.35">
      <c r="A119" s="30" t="s">
        <v>393</v>
      </c>
      <c r="B119" s="4" t="s">
        <v>29</v>
      </c>
      <c r="C119" s="24"/>
      <c r="D119" s="22"/>
      <c r="E119" s="13">
        <v>180</v>
      </c>
      <c r="F119" s="29">
        <f t="shared" si="7"/>
        <v>180</v>
      </c>
      <c r="G119" s="22">
        <v>75</v>
      </c>
      <c r="H119" s="28" t="s">
        <v>47</v>
      </c>
      <c r="I119" s="13"/>
      <c r="J119" s="29">
        <f>IF(G119="",0,IF(I119&gt;0,I119,IF(H119="A",G119,IF(H119="M",G119*12,IF(H119="W",G119*Lookups!B$9,IF(H119="B",G119*+Lookups!B$10,IF(H119="S",G119*2,IF(AND(G119=0,I119&gt;0),I119,"ERROR"))))))))</f>
        <v>900</v>
      </c>
      <c r="K119" s="26">
        <f t="shared" si="8"/>
        <v>900</v>
      </c>
      <c r="L119" s="27" t="str">
        <f t="shared" si="10"/>
        <v>N</v>
      </c>
    </row>
    <row r="120" spans="1:18" x14ac:dyDescent="0.35">
      <c r="A120" s="30" t="s">
        <v>393</v>
      </c>
      <c r="B120" s="4" t="s">
        <v>331</v>
      </c>
      <c r="C120" s="24"/>
      <c r="D120" s="22"/>
      <c r="E120" s="13">
        <v>2000</v>
      </c>
      <c r="F120" s="29">
        <f t="shared" si="7"/>
        <v>2000</v>
      </c>
      <c r="G120" s="22"/>
      <c r="H120" s="28"/>
      <c r="I120" s="13">
        <v>2000</v>
      </c>
      <c r="J120" s="29">
        <f>IF(G120="",0,IF(I120&gt;0,I120,IF(H120="A",G120,IF(H120="M",G120*12,IF(H120="W",G120*Lookups!B$9,IF(H120="B",G120*+Lookups!B$10,IF(H120="S",G120*2,IF(AND(G120=0,I120&gt;0),I120,"ERROR"))))))))</f>
        <v>0</v>
      </c>
      <c r="K120" s="26" t="str">
        <f t="shared" si="8"/>
        <v/>
      </c>
      <c r="L120" s="27" t="str">
        <f t="shared" si="10"/>
        <v>X</v>
      </c>
    </row>
    <row r="121" spans="1:18" x14ac:dyDescent="0.35">
      <c r="A121" s="30" t="s">
        <v>310</v>
      </c>
      <c r="B121" s="4" t="s">
        <v>311</v>
      </c>
      <c r="C121" s="24">
        <v>2800</v>
      </c>
      <c r="D121" s="22"/>
      <c r="E121" s="13">
        <v>900</v>
      </c>
      <c r="F121" s="29">
        <f t="shared" si="7"/>
        <v>900</v>
      </c>
      <c r="G121" s="22"/>
      <c r="H121" s="28"/>
      <c r="I121" s="13">
        <v>1000</v>
      </c>
      <c r="J121" s="29">
        <f>IF(G121="",0,IF(I121&gt;0,I121,IF(H121="A",G121,IF(H121="M",G121*12,IF(H121="W",G121*Lookups!B$9,IF(H121="B",G121*+Lookups!B$10,IF(H121="S",G121*2,IF(AND(G121=0,I121&gt;0),I121,"ERROR"))))))))</f>
        <v>0</v>
      </c>
      <c r="K121" s="26" t="str">
        <f t="shared" si="8"/>
        <v/>
      </c>
      <c r="L121" s="27" t="str">
        <f t="shared" si="10"/>
        <v>X</v>
      </c>
    </row>
    <row r="122" spans="1:18" x14ac:dyDescent="0.35">
      <c r="A122" s="30" t="s">
        <v>165</v>
      </c>
      <c r="B122" s="4" t="s">
        <v>166</v>
      </c>
      <c r="C122" s="24">
        <v>4560</v>
      </c>
      <c r="D122" s="22">
        <v>4680</v>
      </c>
      <c r="E122" s="13">
        <v>3390</v>
      </c>
      <c r="F122" s="29">
        <f t="shared" si="7"/>
        <v>3390</v>
      </c>
      <c r="G122" s="22"/>
      <c r="H122" s="28" t="s">
        <v>46</v>
      </c>
      <c r="I122" s="13">
        <v>4000</v>
      </c>
      <c r="J122" s="29">
        <f>IF(G122="",0,IF(I122&gt;0,I122,IF(H122="A",G122,IF(H122="M",G122*12,IF(H122="W",G122*Lookups!B$9,IF(H122="B",G122*+Lookups!B$10,IF(H122="S",G122*2,IF(AND(G122=0,I122&gt;0),I122,"ERROR"))))))))</f>
        <v>0</v>
      </c>
      <c r="K122" s="26" t="str">
        <f t="shared" si="8"/>
        <v/>
      </c>
      <c r="L122" s="27" t="str">
        <f t="shared" si="10"/>
        <v>E</v>
      </c>
    </row>
    <row r="123" spans="1:18" x14ac:dyDescent="0.35">
      <c r="A123" s="30" t="s">
        <v>394</v>
      </c>
      <c r="B123" s="4" t="s">
        <v>395</v>
      </c>
      <c r="C123" s="24"/>
      <c r="D123" s="22"/>
      <c r="E123" s="13">
        <v>500</v>
      </c>
      <c r="F123" s="29">
        <f t="shared" si="7"/>
        <v>500</v>
      </c>
      <c r="G123" s="22">
        <v>100</v>
      </c>
      <c r="H123" s="28" t="s">
        <v>47</v>
      </c>
      <c r="I123" s="13"/>
      <c r="J123" s="29">
        <f>IF(G123="",0,IF(I123&gt;0,I123,IF(H123="A",G123,IF(H123="M",G123*12,IF(H123="W",G123*Lookups!B$9,IF(H123="B",G123*+Lookups!B$10,IF(H123="S",G123*2,IF(AND(G123=0,I123&gt;0),I123,"ERROR"))))))))</f>
        <v>1200</v>
      </c>
      <c r="K123" s="26">
        <f t="shared" si="8"/>
        <v>1200</v>
      </c>
      <c r="L123" s="27" t="str">
        <f t="shared" si="10"/>
        <v>N</v>
      </c>
      <c r="M123" s="72" t="s">
        <v>492</v>
      </c>
      <c r="N123" s="73" t="s">
        <v>493</v>
      </c>
      <c r="O123" s="73" t="s">
        <v>443</v>
      </c>
      <c r="P123" s="74" t="s">
        <v>418</v>
      </c>
      <c r="Q123" s="75">
        <v>53402</v>
      </c>
    </row>
    <row r="124" spans="1:18" x14ac:dyDescent="0.35">
      <c r="A124" s="30" t="s">
        <v>167</v>
      </c>
      <c r="B124" s="4" t="s">
        <v>168</v>
      </c>
      <c r="C124" s="24">
        <v>3840</v>
      </c>
      <c r="D124" s="22">
        <v>3840</v>
      </c>
      <c r="E124" s="13">
        <v>2880</v>
      </c>
      <c r="F124" s="29">
        <f t="shared" si="7"/>
        <v>3840</v>
      </c>
      <c r="G124" s="22">
        <v>320</v>
      </c>
      <c r="H124" s="28" t="s">
        <v>47</v>
      </c>
      <c r="I124" s="13"/>
      <c r="J124" s="29">
        <f>IF(G124="",0,IF(I124&gt;0,I124,IF(H124="A",G124,IF(H124="M",G124*12,IF(H124="W",G124*Lookups!B$9,IF(H124="B",G124*+Lookups!B$10,IF(H124="S",G124*2,IF(AND(G124=0,I124&gt;0),I124,"ERROR"))))))))</f>
        <v>3840</v>
      </c>
      <c r="K124" s="26">
        <f t="shared" si="8"/>
        <v>0</v>
      </c>
      <c r="L124" s="27" t="str">
        <f t="shared" si="10"/>
        <v>S</v>
      </c>
      <c r="M124" s="72" t="s">
        <v>494</v>
      </c>
      <c r="N124" s="73" t="s">
        <v>495</v>
      </c>
      <c r="O124" s="73" t="s">
        <v>443</v>
      </c>
      <c r="P124" s="74" t="s">
        <v>418</v>
      </c>
      <c r="Q124" s="75">
        <v>53405</v>
      </c>
    </row>
    <row r="125" spans="1:18" x14ac:dyDescent="0.35">
      <c r="A125" s="101" t="s">
        <v>312</v>
      </c>
      <c r="B125" s="102" t="s">
        <v>309</v>
      </c>
      <c r="C125" s="112">
        <v>100</v>
      </c>
      <c r="D125" s="104"/>
      <c r="E125" s="103"/>
      <c r="F125" s="105">
        <f t="shared" si="7"/>
        <v>0</v>
      </c>
      <c r="G125" s="104"/>
      <c r="H125" s="106"/>
      <c r="I125" s="103"/>
      <c r="J125" s="105">
        <f>IF(G125="",0,IF(I125&gt;0,I125,IF(H125="A",G125,IF(H125="M",G125*12,IF(H125="W",G125*Lookups!B$9,IF(H125="B",G125*+Lookups!B$10,IF(H125="S",G125*2,IF(AND(G125=0,I125&gt;0),I125,"ERROR"))))))))</f>
        <v>0</v>
      </c>
      <c r="K125" s="107" t="str">
        <f t="shared" si="8"/>
        <v/>
      </c>
      <c r="L125" s="108" t="str">
        <f t="shared" si="10"/>
        <v/>
      </c>
      <c r="M125" s="109" t="s">
        <v>532</v>
      </c>
      <c r="N125" s="109"/>
      <c r="O125" s="109"/>
      <c r="P125" s="110"/>
      <c r="Q125" s="111"/>
    </row>
    <row r="126" spans="1:18" x14ac:dyDescent="0.35">
      <c r="A126" s="30" t="s">
        <v>169</v>
      </c>
      <c r="B126" s="4" t="s">
        <v>313</v>
      </c>
      <c r="C126" s="24">
        <v>780</v>
      </c>
      <c r="D126" s="22">
        <v>884</v>
      </c>
      <c r="E126" s="13">
        <v>620</v>
      </c>
      <c r="F126" s="29">
        <f t="shared" si="7"/>
        <v>620</v>
      </c>
      <c r="G126" s="22">
        <v>20</v>
      </c>
      <c r="H126" s="28" t="s">
        <v>46</v>
      </c>
      <c r="I126" s="13"/>
      <c r="J126" s="29">
        <f>IF(G126="",0,IF(I126&gt;0,I126,IF(H126="A",G126,IF(H126="M",G126*12,IF(H126="W",G126*Lookups!B$9,IF(H126="B",G126*+Lookups!B$10,IF(H126="S",G126*2,IF(AND(G126=0,I126&gt;0),I126,"ERROR"))))))))</f>
        <v>1060</v>
      </c>
      <c r="K126" s="26">
        <f t="shared" si="8"/>
        <v>176</v>
      </c>
      <c r="L126" s="27" t="str">
        <f t="shared" si="10"/>
        <v>I</v>
      </c>
      <c r="M126" s="72" t="s">
        <v>496</v>
      </c>
      <c r="N126" s="73" t="s">
        <v>497</v>
      </c>
      <c r="O126" s="73" t="s">
        <v>423</v>
      </c>
      <c r="P126" s="74" t="s">
        <v>418</v>
      </c>
      <c r="Q126" s="75">
        <v>53126</v>
      </c>
    </row>
    <row r="127" spans="1:18" x14ac:dyDescent="0.35">
      <c r="A127" s="30" t="s">
        <v>170</v>
      </c>
      <c r="B127" s="4" t="s">
        <v>171</v>
      </c>
      <c r="C127" s="24">
        <v>91</v>
      </c>
      <c r="D127" s="22">
        <v>364</v>
      </c>
      <c r="E127" s="13">
        <v>161</v>
      </c>
      <c r="F127" s="29">
        <f t="shared" si="7"/>
        <v>161</v>
      </c>
      <c r="G127" s="22">
        <v>8</v>
      </c>
      <c r="H127" s="28" t="s">
        <v>46</v>
      </c>
      <c r="I127" s="13"/>
      <c r="J127" s="29">
        <f>IF(G127="",0,IF(I127&gt;0,I127,IF(H127="A",G127,IF(H127="M",G127*12,IF(H127="W",G127*Lookups!B$9,IF(H127="B",G127*+Lookups!B$10,IF(H127="S",G127*2,IF(AND(G127=0,I127&gt;0),I127,"ERROR"))))))))</f>
        <v>424</v>
      </c>
      <c r="K127" s="26">
        <f t="shared" si="8"/>
        <v>60</v>
      </c>
      <c r="L127" s="27" t="str">
        <f t="shared" si="10"/>
        <v>I</v>
      </c>
      <c r="M127" s="72" t="s">
        <v>498</v>
      </c>
      <c r="N127" s="73" t="s">
        <v>499</v>
      </c>
      <c r="P127" s="74" t="s">
        <v>418</v>
      </c>
      <c r="Q127" s="75">
        <v>53406</v>
      </c>
    </row>
    <row r="128" spans="1:18" x14ac:dyDescent="0.35">
      <c r="A128" s="30" t="s">
        <v>172</v>
      </c>
      <c r="B128" s="4" t="s">
        <v>173</v>
      </c>
      <c r="C128" s="24">
        <v>3450</v>
      </c>
      <c r="D128" s="22">
        <v>3600</v>
      </c>
      <c r="E128" s="13">
        <v>2700</v>
      </c>
      <c r="F128" s="29">
        <f t="shared" si="7"/>
        <v>3600</v>
      </c>
      <c r="G128" s="22">
        <v>300</v>
      </c>
      <c r="H128" s="28" t="s">
        <v>47</v>
      </c>
      <c r="I128" s="13"/>
      <c r="J128" s="29">
        <f>IF(G128="",0,IF(I128&gt;0,I128,IF(H128="A",G128,IF(H128="M",G128*12,IF(H128="W",G128*Lookups!B$9,IF(H128="B",G128*+Lookups!B$10,IF(H128="S",G128*2,IF(AND(G128=0,I128&gt;0),I128,"ERROR"))))))))</f>
        <v>3600</v>
      </c>
      <c r="K128" s="26">
        <f t="shared" si="8"/>
        <v>0</v>
      </c>
      <c r="L128" s="27" t="str">
        <f t="shared" si="10"/>
        <v>S</v>
      </c>
    </row>
    <row r="129" spans="1:17" x14ac:dyDescent="0.35">
      <c r="A129" s="30" t="s">
        <v>174</v>
      </c>
      <c r="B129" s="4" t="s">
        <v>314</v>
      </c>
      <c r="C129" s="24">
        <v>40</v>
      </c>
      <c r="D129" s="22"/>
      <c r="E129" s="13">
        <v>40</v>
      </c>
      <c r="F129" s="29">
        <f t="shared" si="7"/>
        <v>40</v>
      </c>
      <c r="G129" s="22"/>
      <c r="H129" s="28"/>
      <c r="I129" s="13"/>
      <c r="J129" s="29">
        <f>IF(G129="",0,IF(I129&gt;0,I129,IF(H129="A",G129,IF(H129="M",G129*12,IF(H129="W",G129*Lookups!B$9,IF(H129="B",G129*+Lookups!B$10,IF(H129="S",G129*2,IF(AND(G129=0,I129&gt;0),I129,"ERROR"))))))))</f>
        <v>0</v>
      </c>
      <c r="K129" s="26" t="str">
        <f t="shared" si="8"/>
        <v/>
      </c>
      <c r="L129" s="27" t="str">
        <f t="shared" si="10"/>
        <v/>
      </c>
    </row>
    <row r="130" spans="1:17" x14ac:dyDescent="0.35">
      <c r="A130" s="30" t="s">
        <v>174</v>
      </c>
      <c r="B130" s="4" t="s">
        <v>500</v>
      </c>
      <c r="C130" s="24">
        <v>4900</v>
      </c>
      <c r="D130" s="22">
        <v>5040</v>
      </c>
      <c r="E130" s="13">
        <v>3825</v>
      </c>
      <c r="F130" s="29">
        <f t="shared" si="7"/>
        <v>5040</v>
      </c>
      <c r="G130" s="22">
        <v>420</v>
      </c>
      <c r="H130" s="28" t="s">
        <v>47</v>
      </c>
      <c r="I130" s="13"/>
      <c r="J130" s="29">
        <f>IF(G130="",0,IF(I130&gt;0,I130,IF(H130="A",G130,IF(H130="M",G130*12,IF(H130="W",G130*Lookups!B$9,IF(H130="B",G130*+Lookups!B$10,IF(H130="S",G130*2,IF(AND(G130=0,I130&gt;0),I130,"ERROR"))))))))</f>
        <v>5040</v>
      </c>
      <c r="K130" s="26">
        <f t="shared" si="8"/>
        <v>0</v>
      </c>
      <c r="L130" s="27" t="str">
        <f t="shared" si="10"/>
        <v>S</v>
      </c>
      <c r="M130" s="72" t="s">
        <v>501</v>
      </c>
      <c r="N130" s="73" t="s">
        <v>502</v>
      </c>
      <c r="O130" s="73" t="s">
        <v>435</v>
      </c>
      <c r="P130" s="74" t="s">
        <v>418</v>
      </c>
      <c r="Q130" s="75">
        <v>53108</v>
      </c>
    </row>
    <row r="131" spans="1:17" x14ac:dyDescent="0.35">
      <c r="A131" s="30" t="s">
        <v>174</v>
      </c>
      <c r="B131" s="4" t="s">
        <v>315</v>
      </c>
      <c r="C131" s="24">
        <v>1560</v>
      </c>
      <c r="D131" s="22"/>
      <c r="E131" s="13"/>
      <c r="F131" s="29">
        <f t="shared" si="7"/>
        <v>0</v>
      </c>
      <c r="G131" s="22"/>
      <c r="H131" s="28"/>
      <c r="I131" s="13"/>
      <c r="J131" s="29">
        <f>IF(G131="",0,IF(I131&gt;0,I131,IF(H131="A",G131,IF(H131="M",G131*12,IF(H131="W",G131*Lookups!B$9,IF(H131="B",G131*+Lookups!B$10,IF(H131="S",G131*2,IF(AND(G131=0,I131&gt;0),I131,"ERROR"))))))))</f>
        <v>0</v>
      </c>
      <c r="K131" s="26" t="str">
        <f t="shared" si="8"/>
        <v/>
      </c>
      <c r="L131" s="27" t="str">
        <f t="shared" si="10"/>
        <v/>
      </c>
    </row>
    <row r="132" spans="1:17" x14ac:dyDescent="0.35">
      <c r="A132" s="30" t="s">
        <v>174</v>
      </c>
      <c r="B132" s="4" t="s">
        <v>316</v>
      </c>
      <c r="C132" s="24">
        <v>240</v>
      </c>
      <c r="D132" s="22"/>
      <c r="E132" s="13">
        <v>20</v>
      </c>
      <c r="F132" s="29">
        <f t="shared" si="7"/>
        <v>20</v>
      </c>
      <c r="G132" s="22"/>
      <c r="H132" s="28"/>
      <c r="I132" s="13"/>
      <c r="J132" s="29">
        <f>IF(G132="",0,IF(I132&gt;0,I132,IF(H132="A",G132,IF(H132="M",G132*12,IF(H132="W",G132*Lookups!B$9,IF(H132="B",G132*+Lookups!B$10,IF(H132="S",G132*2,IF(AND(G132=0,I132&gt;0),I132,"ERROR"))))))))</f>
        <v>0</v>
      </c>
      <c r="K132" s="26" t="str">
        <f t="shared" si="8"/>
        <v/>
      </c>
      <c r="L132" s="27" t="str">
        <f t="shared" si="10"/>
        <v/>
      </c>
    </row>
    <row r="133" spans="1:17" x14ac:dyDescent="0.35">
      <c r="A133" s="30" t="s">
        <v>317</v>
      </c>
      <c r="B133" s="4" t="s">
        <v>318</v>
      </c>
      <c r="C133" s="24">
        <v>200</v>
      </c>
      <c r="D133" s="22"/>
      <c r="E133" s="13"/>
      <c r="F133" s="29">
        <f t="shared" ref="F133:F195" si="11">IF(D133=0,E133,IF(AND(E133=0,H133="A"),D133,IF(E133&gt;D133,E133, IF(E133/D133&gt;0.73,D133,E133))))</f>
        <v>0</v>
      </c>
      <c r="G133" s="22"/>
      <c r="H133" s="28"/>
      <c r="I133" s="13"/>
      <c r="J133" s="29">
        <f>IF(G133="",0,IF(I133&gt;0,I133,IF(H133="A",G133,IF(H133="M",G133*12,IF(H133="W",G133*Lookups!B$9,IF(H133="B",G133*+Lookups!B$10,IF(H133="S",G133*2,IF(AND(G133=0,I133&gt;0),I133,"ERROR"))))))))</f>
        <v>0</v>
      </c>
      <c r="K133" s="26" t="str">
        <f t="shared" si="8"/>
        <v/>
      </c>
      <c r="L133" s="27" t="str">
        <f t="shared" si="10"/>
        <v/>
      </c>
    </row>
    <row r="134" spans="1:17" x14ac:dyDescent="0.35">
      <c r="A134" s="30" t="s">
        <v>319</v>
      </c>
      <c r="B134" s="4" t="s">
        <v>320</v>
      </c>
      <c r="C134" s="24">
        <v>3000</v>
      </c>
      <c r="D134" s="22"/>
      <c r="E134" s="13">
        <v>4000</v>
      </c>
      <c r="F134" s="29">
        <f t="shared" si="11"/>
        <v>4000</v>
      </c>
      <c r="G134" s="22">
        <v>3000</v>
      </c>
      <c r="H134" s="28" t="s">
        <v>43</v>
      </c>
      <c r="I134" s="13"/>
      <c r="J134" s="29">
        <f>IF(G134="",0,IF(I134&gt;0,I134,IF(H134="A",G134,IF(H134="M",G134*12,IF(H134="W",G134*Lookups!B$9,IF(H134="B",G134*+Lookups!B$10,IF(H134="S",G134*2,IF(AND(G134=0,I134&gt;0),I134,"ERROR"))))))))</f>
        <v>3000</v>
      </c>
      <c r="K134" s="26">
        <f t="shared" si="8"/>
        <v>3000</v>
      </c>
      <c r="L134" s="27" t="str">
        <f t="shared" si="10"/>
        <v>N</v>
      </c>
      <c r="M134" s="77" t="s">
        <v>415</v>
      </c>
      <c r="N134" s="73" t="s">
        <v>416</v>
      </c>
      <c r="O134" s="73" t="s">
        <v>417</v>
      </c>
      <c r="P134" s="74" t="s">
        <v>418</v>
      </c>
      <c r="Q134" s="75">
        <v>53406</v>
      </c>
    </row>
    <row r="135" spans="1:17" x14ac:dyDescent="0.35">
      <c r="A135" s="30" t="s">
        <v>321</v>
      </c>
      <c r="B135" s="4" t="s">
        <v>322</v>
      </c>
      <c r="C135" s="24">
        <v>200</v>
      </c>
      <c r="D135" s="22"/>
      <c r="E135" s="13">
        <v>150</v>
      </c>
      <c r="F135" s="29">
        <f t="shared" si="11"/>
        <v>150</v>
      </c>
      <c r="G135" s="22"/>
      <c r="H135" s="28"/>
      <c r="I135" s="13"/>
      <c r="J135" s="29">
        <f>IF(G135="",0,IF(I135&gt;0,I135,IF(H135="A",G135,IF(H135="M",G135*12,IF(H135="W",G135*Lookups!B$9,IF(H135="B",G135*+Lookups!B$10,IF(H135="S",G135*2,IF(AND(G135=0,I135&gt;0),I135,"ERROR"))))))))</f>
        <v>0</v>
      </c>
      <c r="K135" s="26" t="str">
        <f t="shared" si="8"/>
        <v/>
      </c>
      <c r="L135" s="27" t="str">
        <f t="shared" si="10"/>
        <v/>
      </c>
    </row>
    <row r="136" spans="1:17" x14ac:dyDescent="0.35">
      <c r="A136" s="30" t="s">
        <v>323</v>
      </c>
      <c r="B136" s="4" t="s">
        <v>324</v>
      </c>
      <c r="C136" s="24">
        <v>4000</v>
      </c>
      <c r="D136" s="22"/>
      <c r="E136" s="13">
        <v>150</v>
      </c>
      <c r="F136" s="29">
        <f t="shared" si="11"/>
        <v>150</v>
      </c>
      <c r="G136" s="22"/>
      <c r="H136" s="28"/>
      <c r="I136" s="13"/>
      <c r="J136" s="29">
        <f>IF(G136="",0,IF(I136&gt;0,I136,IF(H136="A",G136,IF(H136="M",G136*12,IF(H136="W",G136*Lookups!B$9,IF(H136="B",G136*+Lookups!B$10,IF(H136="S",G136*2,IF(AND(G136=0,I136&gt;0),I136,"ERROR"))))))))</f>
        <v>0</v>
      </c>
      <c r="K136" s="26" t="str">
        <f t="shared" si="8"/>
        <v/>
      </c>
      <c r="L136" s="27" t="str">
        <f t="shared" si="10"/>
        <v/>
      </c>
    </row>
    <row r="137" spans="1:17" x14ac:dyDescent="0.35">
      <c r="A137" s="30" t="s">
        <v>175</v>
      </c>
      <c r="B137" s="4" t="s">
        <v>176</v>
      </c>
      <c r="C137" s="24">
        <v>6725</v>
      </c>
      <c r="D137" s="22">
        <v>7200</v>
      </c>
      <c r="E137" s="13">
        <v>5850</v>
      </c>
      <c r="F137" s="29">
        <f t="shared" si="11"/>
        <v>7200</v>
      </c>
      <c r="G137" s="22">
        <v>125</v>
      </c>
      <c r="H137" s="28" t="s">
        <v>46</v>
      </c>
      <c r="I137" s="13"/>
      <c r="J137" s="29">
        <f>IF(G137="",0,IF(I137&gt;0,I137,IF(H137="A",G137,IF(H137="M",G137*12,IF(H137="W",G137*Lookups!B$9,IF(H137="B",G137*+Lookups!B$10,IF(H137="S",G137*2,IF(AND(G137=0,I137&gt;0),I137,"ERROR"))))))))</f>
        <v>6625</v>
      </c>
      <c r="K137" s="26">
        <f t="shared" si="8"/>
        <v>-575</v>
      </c>
      <c r="L137" s="27" t="str">
        <f t="shared" ref="L137:L168" si="12">IF(AND(I137&gt;0,D137=0,G137=0),"X",IF(AND(I137&gt;0,D137&gt;0),"E",IF(K137="","",IF(K137=0,"S",IF(AND(K137&gt;0,NOT(D137=0)),"I",IF(AND(K137&gt;0,D137=0),"N",IF(K137&lt;0,"D","ERROR")))))))</f>
        <v>D</v>
      </c>
      <c r="M137" s="72" t="s">
        <v>503</v>
      </c>
      <c r="N137" s="73" t="s">
        <v>504</v>
      </c>
      <c r="O137" s="73" t="s">
        <v>417</v>
      </c>
      <c r="P137" s="74" t="s">
        <v>418</v>
      </c>
      <c r="Q137" s="75">
        <v>53406</v>
      </c>
    </row>
    <row r="138" spans="1:17" x14ac:dyDescent="0.35">
      <c r="A138" s="30" t="s">
        <v>175</v>
      </c>
      <c r="B138" s="4" t="s">
        <v>177</v>
      </c>
      <c r="C138" s="24">
        <v>2323</v>
      </c>
      <c r="D138" s="22">
        <v>2340</v>
      </c>
      <c r="E138" s="13">
        <v>1750</v>
      </c>
      <c r="F138" s="29">
        <f t="shared" si="11"/>
        <v>2340</v>
      </c>
      <c r="G138" s="22">
        <v>50</v>
      </c>
      <c r="H138" s="28" t="s">
        <v>46</v>
      </c>
      <c r="I138" s="13"/>
      <c r="J138" s="29">
        <f>IF(G138="",0,IF(I138&gt;0,I138,IF(H138="A",G138,IF(H138="M",G138*12,IF(H138="W",G138*Lookups!B$9,IF(H138="B",G138*+Lookups!B$10,IF(H138="S",G138*2,IF(AND(G138=0,I138&gt;0),I138,"ERROR"))))))))</f>
        <v>2650</v>
      </c>
      <c r="K138" s="26">
        <f t="shared" si="8"/>
        <v>310</v>
      </c>
      <c r="L138" s="27" t="str">
        <f t="shared" si="12"/>
        <v>I</v>
      </c>
      <c r="M138" s="72" t="s">
        <v>505</v>
      </c>
      <c r="N138" s="73" t="s">
        <v>506</v>
      </c>
      <c r="O138" s="73" t="s">
        <v>417</v>
      </c>
      <c r="P138" s="74" t="s">
        <v>418</v>
      </c>
      <c r="Q138" s="75">
        <v>53406</v>
      </c>
    </row>
    <row r="139" spans="1:17" x14ac:dyDescent="0.35">
      <c r="A139" s="30" t="s">
        <v>325</v>
      </c>
      <c r="B139" s="4" t="s">
        <v>396</v>
      </c>
      <c r="C139" s="24"/>
      <c r="D139" s="22"/>
      <c r="E139" s="13">
        <v>1000</v>
      </c>
      <c r="F139" s="29">
        <f t="shared" si="11"/>
        <v>1000</v>
      </c>
      <c r="G139" s="22">
        <v>5000</v>
      </c>
      <c r="H139" s="28" t="s">
        <v>43</v>
      </c>
      <c r="I139" s="13"/>
      <c r="J139" s="29">
        <f>IF(G139="",0,IF(I139&gt;0,I139,IF(H139="A",G139,IF(H139="M",G139*12,IF(H139="W",G139*Lookups!B$9,IF(H139="B",G139*+Lookups!B$10,IF(H139="S",G139*2,IF(AND(G139=0,I139&gt;0),I139,"ERROR"))))))))</f>
        <v>5000</v>
      </c>
      <c r="K139" s="26">
        <f t="shared" si="8"/>
        <v>5000</v>
      </c>
      <c r="L139" s="27" t="str">
        <f t="shared" si="12"/>
        <v>N</v>
      </c>
    </row>
    <row r="140" spans="1:17" x14ac:dyDescent="0.35">
      <c r="A140" s="30" t="s">
        <v>325</v>
      </c>
      <c r="B140" s="4" t="s">
        <v>190</v>
      </c>
      <c r="C140" s="24">
        <v>275</v>
      </c>
      <c r="D140" s="22"/>
      <c r="E140" s="13"/>
      <c r="F140" s="29">
        <f t="shared" si="11"/>
        <v>0</v>
      </c>
      <c r="G140" s="22"/>
      <c r="H140" s="28"/>
      <c r="I140" s="13"/>
      <c r="J140" s="29">
        <f>IF(G140="",0,IF(I140&gt;0,I140,IF(H140="A",G140,IF(H140="M",G140*12,IF(H140="W",G140*Lookups!B$9,IF(H140="B",G140*+Lookups!B$10,IF(H140="S",G140*2,IF(AND(G140=0,I140&gt;0),I140,"ERROR"))))))))</f>
        <v>0</v>
      </c>
      <c r="K140" s="26" t="str">
        <f t="shared" si="8"/>
        <v/>
      </c>
      <c r="L140" s="27" t="str">
        <f t="shared" si="12"/>
        <v/>
      </c>
    </row>
    <row r="141" spans="1:17" x14ac:dyDescent="0.35">
      <c r="A141" s="30" t="s">
        <v>178</v>
      </c>
      <c r="B141" s="4" t="s">
        <v>179</v>
      </c>
      <c r="C141" s="24">
        <v>960</v>
      </c>
      <c r="D141" s="22">
        <v>1200</v>
      </c>
      <c r="E141" s="13">
        <v>900</v>
      </c>
      <c r="F141" s="29">
        <f t="shared" si="11"/>
        <v>1200</v>
      </c>
      <c r="G141" s="22"/>
      <c r="H141" s="28" t="s">
        <v>47</v>
      </c>
      <c r="I141" s="13">
        <v>1200</v>
      </c>
      <c r="J141" s="29">
        <f>IF(G141="",0,IF(I141&gt;0,I141,IF(H141="A",G141,IF(H141="M",G141*12,IF(H141="W",G141*Lookups!B$9,IF(H141="B",G141*+Lookups!B$10,IF(H141="S",G141*2,IF(AND(G141=0,I141&gt;0),I141,"ERROR"))))))))</f>
        <v>0</v>
      </c>
      <c r="K141" s="26" t="str">
        <f t="shared" si="8"/>
        <v/>
      </c>
      <c r="L141" s="27" t="str">
        <f t="shared" si="12"/>
        <v>E</v>
      </c>
    </row>
    <row r="142" spans="1:17" x14ac:dyDescent="0.35">
      <c r="A142" s="30" t="s">
        <v>180</v>
      </c>
      <c r="B142" s="4" t="s">
        <v>181</v>
      </c>
      <c r="C142" s="24">
        <v>3000</v>
      </c>
      <c r="D142" s="22">
        <v>3600</v>
      </c>
      <c r="E142" s="13">
        <v>2700</v>
      </c>
      <c r="F142" s="29">
        <f t="shared" si="11"/>
        <v>3600</v>
      </c>
      <c r="G142" s="22">
        <v>330</v>
      </c>
      <c r="H142" s="28" t="s">
        <v>47</v>
      </c>
      <c r="I142" s="13"/>
      <c r="J142" s="29">
        <f>IF(G142="",0,IF(I142&gt;0,I142,IF(H142="A",G142,IF(H142="M",G142*12,IF(H142="W",G142*Lookups!B$9,IF(H142="B",G142*+Lookups!B$10,IF(H142="S",G142*2,IF(AND(G142=0,I142&gt;0),I142,"ERROR"))))))))</f>
        <v>3960</v>
      </c>
      <c r="K142" s="26">
        <f t="shared" si="8"/>
        <v>360</v>
      </c>
      <c r="L142" s="27" t="str">
        <f t="shared" si="12"/>
        <v>I</v>
      </c>
      <c r="M142" s="72" t="s">
        <v>507</v>
      </c>
      <c r="N142" s="73" t="s">
        <v>508</v>
      </c>
      <c r="O142" s="73" t="s">
        <v>443</v>
      </c>
      <c r="P142" s="74" t="s">
        <v>418</v>
      </c>
      <c r="Q142" s="75">
        <v>53402</v>
      </c>
    </row>
    <row r="143" spans="1:17" x14ac:dyDescent="0.35">
      <c r="A143" s="101" t="s">
        <v>326</v>
      </c>
      <c r="B143" s="102" t="s">
        <v>251</v>
      </c>
      <c r="C143" s="112">
        <v>1275</v>
      </c>
      <c r="D143" s="104"/>
      <c r="E143" s="103"/>
      <c r="F143" s="105">
        <f t="shared" si="11"/>
        <v>0</v>
      </c>
      <c r="G143" s="104"/>
      <c r="H143" s="106"/>
      <c r="I143" s="103"/>
      <c r="J143" s="105">
        <f>IF(G143="",0,IF(I143&gt;0,I143,IF(H143="A",G143,IF(H143="M",G143*12,IF(H143="W",G143*Lookups!B$9,IF(H143="B",G143*+Lookups!B$10,IF(H143="S",G143*2,IF(AND(G143=0,I143&gt;0),I143,"ERROR"))))))))</f>
        <v>0</v>
      </c>
      <c r="K143" s="107" t="str">
        <f t="shared" si="8"/>
        <v/>
      </c>
      <c r="L143" s="108" t="str">
        <f t="shared" si="12"/>
        <v/>
      </c>
      <c r="M143" s="109" t="s">
        <v>534</v>
      </c>
      <c r="N143" s="109"/>
      <c r="O143" s="109"/>
      <c r="P143" s="110"/>
      <c r="Q143" s="111"/>
    </row>
    <row r="144" spans="1:17" x14ac:dyDescent="0.35">
      <c r="A144" s="30" t="s">
        <v>182</v>
      </c>
      <c r="B144" s="4" t="s">
        <v>141</v>
      </c>
      <c r="C144" s="24">
        <v>815</v>
      </c>
      <c r="D144" s="22">
        <v>960</v>
      </c>
      <c r="E144" s="13">
        <v>560</v>
      </c>
      <c r="F144" s="29">
        <f t="shared" si="11"/>
        <v>560</v>
      </c>
      <c r="G144" s="22"/>
      <c r="H144" s="28" t="s">
        <v>47</v>
      </c>
      <c r="I144" s="13">
        <v>800</v>
      </c>
      <c r="J144" s="29">
        <f>IF(G144="",0,IF(I144&gt;0,I144,IF(H144="A",G144,IF(H144="M",G144*12,IF(H144="W",G144*Lookups!B$9,IF(H144="B",G144*+Lookups!B$10,IF(H144="S",G144*2,IF(AND(G144=0,I144&gt;0),I144,"ERROR"))))))))</f>
        <v>0</v>
      </c>
      <c r="K144" s="26" t="str">
        <f t="shared" si="8"/>
        <v/>
      </c>
      <c r="L144" s="27" t="str">
        <f t="shared" si="12"/>
        <v>E</v>
      </c>
    </row>
    <row r="145" spans="1:17" x14ac:dyDescent="0.35">
      <c r="A145" s="30" t="s">
        <v>327</v>
      </c>
      <c r="B145" s="4" t="s">
        <v>328</v>
      </c>
      <c r="C145" s="24">
        <v>600</v>
      </c>
      <c r="D145" s="22"/>
      <c r="E145" s="13">
        <v>400</v>
      </c>
      <c r="F145" s="29">
        <f t="shared" si="11"/>
        <v>400</v>
      </c>
      <c r="G145" s="22"/>
      <c r="H145" s="28"/>
      <c r="I145" s="13">
        <v>500</v>
      </c>
      <c r="J145" s="29">
        <f>IF(G145="",0,IF(I145&gt;0,I145,IF(H145="A",G145,IF(H145="M",G145*12,IF(H145="W",G145*Lookups!B$9,IF(H145="B",G145*+Lookups!B$10,IF(H145="S",G145*2,IF(AND(G145=0,I145&gt;0),I145,"ERROR"))))))))</f>
        <v>0</v>
      </c>
      <c r="K145" s="26" t="str">
        <f t="shared" si="8"/>
        <v/>
      </c>
      <c r="L145" s="27" t="str">
        <f t="shared" si="12"/>
        <v>X</v>
      </c>
    </row>
    <row r="146" spans="1:17" x14ac:dyDescent="0.35">
      <c r="A146" s="101" t="s">
        <v>183</v>
      </c>
      <c r="B146" s="102" t="s">
        <v>329</v>
      </c>
      <c r="C146" s="112">
        <v>12000</v>
      </c>
      <c r="D146" s="104"/>
      <c r="E146" s="103">
        <v>1000</v>
      </c>
      <c r="F146" s="105">
        <f t="shared" si="11"/>
        <v>1000</v>
      </c>
      <c r="G146" s="104"/>
      <c r="H146" s="106"/>
      <c r="I146" s="103"/>
      <c r="J146" s="105">
        <f>IF(G146="",0,IF(I146&gt;0,I146,IF(H146="A",G146,IF(H146="M",G146*12,IF(H146="W",G146*Lookups!B$9,IF(H146="B",G146*+Lookups!B$10,IF(H146="S",G146*2,IF(AND(G146=0,I146&gt;0),I146,"ERROR"))))))))</f>
        <v>0</v>
      </c>
      <c r="K146" s="107" t="str">
        <f t="shared" si="8"/>
        <v/>
      </c>
      <c r="L146" s="108" t="str">
        <f t="shared" si="12"/>
        <v/>
      </c>
      <c r="M146" s="109" t="s">
        <v>535</v>
      </c>
      <c r="N146" s="109"/>
      <c r="O146" s="109"/>
      <c r="P146" s="110"/>
      <c r="Q146" s="111"/>
    </row>
    <row r="147" spans="1:17" x14ac:dyDescent="0.35">
      <c r="A147" s="30" t="s">
        <v>183</v>
      </c>
      <c r="B147" s="92" t="s">
        <v>184</v>
      </c>
      <c r="C147" s="24">
        <v>1090</v>
      </c>
      <c r="D147" s="22">
        <v>1040</v>
      </c>
      <c r="E147" s="13">
        <v>760</v>
      </c>
      <c r="F147" s="29">
        <f t="shared" si="11"/>
        <v>1040</v>
      </c>
      <c r="G147" s="22">
        <v>20</v>
      </c>
      <c r="H147" s="28" t="s">
        <v>46</v>
      </c>
      <c r="I147" s="13"/>
      <c r="J147" s="29">
        <f>IF(G147="",0,IF(I147&gt;0,I147,IF(H147="A",G147,IF(H147="M",G147*12,IF(H147="W",G147*Lookups!B$9,IF(H147="B",G147*+Lookups!B$10,IF(H147="S",G147*2,IF(AND(G147=0,I147&gt;0),I147,"ERROR"))))))))</f>
        <v>1060</v>
      </c>
      <c r="K147" s="26">
        <f t="shared" si="8"/>
        <v>20</v>
      </c>
      <c r="L147" s="27" t="str">
        <f t="shared" si="12"/>
        <v>I</v>
      </c>
    </row>
    <row r="148" spans="1:17" x14ac:dyDescent="0.35">
      <c r="A148" s="30" t="s">
        <v>183</v>
      </c>
      <c r="B148" s="4" t="s">
        <v>330</v>
      </c>
      <c r="C148" s="24">
        <v>1000</v>
      </c>
      <c r="D148" s="22"/>
      <c r="E148" s="13"/>
      <c r="F148" s="29">
        <f t="shared" si="11"/>
        <v>0</v>
      </c>
      <c r="G148" s="22">
        <v>1200</v>
      </c>
      <c r="H148" s="28" t="s">
        <v>43</v>
      </c>
      <c r="I148" s="13"/>
      <c r="J148" s="29">
        <f>IF(G148="",0,IF(I148&gt;0,I148,IF(H148="A",G148,IF(H148="M",G148*12,IF(H148="W",G148*Lookups!B$9,IF(H148="B",G148*+Lookups!B$10,IF(H148="S",G148*2,IF(AND(G148=0,I148&gt;0),I148,"ERROR"))))))))</f>
        <v>1200</v>
      </c>
      <c r="K148" s="26">
        <f t="shared" si="8"/>
        <v>1200</v>
      </c>
      <c r="L148" s="27" t="str">
        <f t="shared" si="12"/>
        <v>N</v>
      </c>
    </row>
    <row r="149" spans="1:17" x14ac:dyDescent="0.35">
      <c r="A149" s="30" t="s">
        <v>183</v>
      </c>
      <c r="B149" s="4" t="s">
        <v>331</v>
      </c>
      <c r="C149" s="24">
        <v>25</v>
      </c>
      <c r="D149" s="22"/>
      <c r="E149" s="13"/>
      <c r="F149" s="29">
        <f t="shared" si="11"/>
        <v>0</v>
      </c>
      <c r="G149" s="22"/>
      <c r="H149" s="28"/>
      <c r="I149" s="13"/>
      <c r="J149" s="29">
        <f>IF(G149="",0,IF(I149&gt;0,I149,IF(H149="A",G149,IF(H149="M",G149*12,IF(H149="W",G149*Lookups!B$9,IF(H149="B",G149*+Lookups!B$10,IF(H149="S",G149*2,IF(AND(G149=0,I149&gt;0),I149,"ERROR"))))))))</f>
        <v>0</v>
      </c>
      <c r="K149" s="26" t="str">
        <f t="shared" si="8"/>
        <v/>
      </c>
      <c r="L149" s="27" t="str">
        <f t="shared" si="12"/>
        <v/>
      </c>
    </row>
    <row r="150" spans="1:17" x14ac:dyDescent="0.35">
      <c r="A150" s="30" t="s">
        <v>183</v>
      </c>
      <c r="B150" s="4" t="s">
        <v>332</v>
      </c>
      <c r="C150" s="24">
        <v>400</v>
      </c>
      <c r="D150" s="22"/>
      <c r="E150" s="13">
        <v>100</v>
      </c>
      <c r="F150" s="29">
        <f t="shared" si="11"/>
        <v>100</v>
      </c>
      <c r="G150" s="22"/>
      <c r="H150" s="28"/>
      <c r="I150" s="13"/>
      <c r="J150" s="29">
        <f>IF(G150="",0,IF(I150&gt;0,I150,IF(H150="A",G150,IF(H150="M",G150*12,IF(H150="W",G150*Lookups!B$9,IF(H150="B",G150*+Lookups!B$10,IF(H150="S",G150*2,IF(AND(G150=0,I150&gt;0),I150,"ERROR"))))))))</f>
        <v>0</v>
      </c>
      <c r="K150" s="26" t="str">
        <f t="shared" si="8"/>
        <v/>
      </c>
      <c r="L150" s="27" t="str">
        <f t="shared" si="12"/>
        <v/>
      </c>
    </row>
    <row r="151" spans="1:17" x14ac:dyDescent="0.35">
      <c r="A151" s="30" t="s">
        <v>185</v>
      </c>
      <c r="B151" s="4" t="s">
        <v>186</v>
      </c>
      <c r="C151" s="24">
        <v>1747</v>
      </c>
      <c r="D151" s="22">
        <v>1320</v>
      </c>
      <c r="E151" s="13">
        <v>660</v>
      </c>
      <c r="F151" s="29">
        <f t="shared" si="11"/>
        <v>660</v>
      </c>
      <c r="G151" s="22">
        <v>110</v>
      </c>
      <c r="H151" s="28" t="s">
        <v>47</v>
      </c>
      <c r="I151" s="13"/>
      <c r="J151" s="29">
        <f>IF(G151="",0,IF(I151&gt;0,I151,IF(H151="A",G151,IF(H151="M",G151*12,IF(H151="W",G151*Lookups!B$9,IF(H151="B",G151*+Lookups!B$10,IF(H151="S",G151*2,IF(AND(G151=0,I151&gt;0),I151,"ERROR"))))))))</f>
        <v>1320</v>
      </c>
      <c r="K151" s="26">
        <f t="shared" si="8"/>
        <v>0</v>
      </c>
      <c r="L151" s="27" t="str">
        <f t="shared" si="12"/>
        <v>S</v>
      </c>
    </row>
    <row r="152" spans="1:17" x14ac:dyDescent="0.35">
      <c r="A152" s="30" t="s">
        <v>185</v>
      </c>
      <c r="B152" s="4" t="s">
        <v>397</v>
      </c>
      <c r="C152" s="24"/>
      <c r="D152" s="22"/>
      <c r="E152" s="13">
        <v>25</v>
      </c>
      <c r="F152" s="29">
        <f t="shared" si="11"/>
        <v>25</v>
      </c>
      <c r="G152" s="22"/>
      <c r="H152" s="28"/>
      <c r="I152" s="13"/>
      <c r="J152" s="29">
        <f>IF(G152="",0,IF(I152&gt;0,I152,IF(H152="A",G152,IF(H152="M",G152*12,IF(H152="W",G152*Lookups!B$9,IF(H152="B",G152*+Lookups!B$10,IF(H152="S",G152*2,IF(AND(G152=0,I152&gt;0),I152,"ERROR"))))))))</f>
        <v>0</v>
      </c>
      <c r="K152" s="26" t="str">
        <f t="shared" ref="K152:K211" si="13">IF(AND(J152=0,D152=0),"",IF(I152&gt;0,"",ROUND(+J152-D152,0)))</f>
        <v/>
      </c>
      <c r="L152" s="27" t="str">
        <f t="shared" si="12"/>
        <v/>
      </c>
    </row>
    <row r="153" spans="1:17" x14ac:dyDescent="0.35">
      <c r="A153" s="30" t="s">
        <v>187</v>
      </c>
      <c r="B153" s="4" t="s">
        <v>188</v>
      </c>
      <c r="C153" s="24">
        <v>100000</v>
      </c>
      <c r="D153" s="22">
        <v>100000</v>
      </c>
      <c r="E153" s="13">
        <v>110000</v>
      </c>
      <c r="F153" s="29">
        <f t="shared" si="11"/>
        <v>110000</v>
      </c>
      <c r="G153" s="22">
        <v>80000</v>
      </c>
      <c r="H153" s="28" t="s">
        <v>43</v>
      </c>
      <c r="I153" s="13"/>
      <c r="J153" s="29">
        <f>IF(G153="",0,IF(I153&gt;0,I153,IF(H153="A",G153,IF(H153="M",G153*12,IF(H153="W",G153*Lookups!B$9,IF(H153="B",G153*+Lookups!B$10,IF(H153="S",G153*2,IF(AND(G153=0,I153&gt;0),I153,"ERROR"))))))))</f>
        <v>80000</v>
      </c>
      <c r="K153" s="26">
        <f t="shared" si="13"/>
        <v>-20000</v>
      </c>
      <c r="L153" s="27" t="str">
        <f t="shared" si="12"/>
        <v>D</v>
      </c>
    </row>
    <row r="154" spans="1:17" x14ac:dyDescent="0.35">
      <c r="A154" s="30" t="s">
        <v>189</v>
      </c>
      <c r="B154" s="4" t="s">
        <v>190</v>
      </c>
      <c r="C154" s="24">
        <v>1640</v>
      </c>
      <c r="D154" s="22">
        <v>1820</v>
      </c>
      <c r="E154" s="13">
        <v>900</v>
      </c>
      <c r="F154" s="29">
        <f t="shared" si="11"/>
        <v>900</v>
      </c>
      <c r="G154" s="22">
        <v>35</v>
      </c>
      <c r="H154" s="28" t="s">
        <v>46</v>
      </c>
      <c r="I154" s="13"/>
      <c r="J154" s="29">
        <f>IF(G154="",0,IF(I154&gt;0,I154,IF(H154="A",G154,IF(H154="M",G154*12,IF(H154="W",G154*Lookups!B$9,IF(H154="B",G154*+Lookups!B$10,IF(H154="S",G154*2,IF(AND(G154=0,I154&gt;0),I154,"ERROR"))))))))</f>
        <v>1855</v>
      </c>
      <c r="K154" s="26">
        <f t="shared" si="13"/>
        <v>35</v>
      </c>
      <c r="L154" s="27" t="str">
        <f t="shared" si="12"/>
        <v>I</v>
      </c>
    </row>
    <row r="155" spans="1:17" x14ac:dyDescent="0.35">
      <c r="A155" s="30" t="s">
        <v>333</v>
      </c>
      <c r="B155" s="4" t="s">
        <v>334</v>
      </c>
      <c r="C155" s="24">
        <v>800</v>
      </c>
      <c r="D155" s="22"/>
      <c r="E155" s="13"/>
      <c r="F155" s="29">
        <f t="shared" si="11"/>
        <v>0</v>
      </c>
      <c r="G155" s="22"/>
      <c r="H155" s="28"/>
      <c r="I155" s="13"/>
      <c r="J155" s="29">
        <f>IF(G155="",0,IF(I155&gt;0,I155,IF(H155="A",G155,IF(H155="M",G155*12,IF(H155="W",G155*Lookups!B$9,IF(H155="B",G155*+Lookups!B$10,IF(H155="S",G155*2,IF(AND(G155=0,I155&gt;0),I155,"ERROR"))))))))</f>
        <v>0</v>
      </c>
      <c r="K155" s="26" t="str">
        <f t="shared" si="13"/>
        <v/>
      </c>
      <c r="L155" s="27" t="str">
        <f t="shared" si="12"/>
        <v/>
      </c>
    </row>
    <row r="156" spans="1:17" x14ac:dyDescent="0.35">
      <c r="A156" s="30" t="s">
        <v>191</v>
      </c>
      <c r="B156" s="4" t="s">
        <v>192</v>
      </c>
      <c r="C156" s="24">
        <v>3640</v>
      </c>
      <c r="D156" s="22">
        <v>3120</v>
      </c>
      <c r="E156" s="13">
        <v>2340</v>
      </c>
      <c r="F156" s="29">
        <f t="shared" si="11"/>
        <v>3120</v>
      </c>
      <c r="G156" s="22">
        <v>50</v>
      </c>
      <c r="H156" s="28" t="s">
        <v>46</v>
      </c>
      <c r="I156" s="13"/>
      <c r="J156" s="29">
        <f>IF(G156="",0,IF(I156&gt;0,I156,IF(H156="A",G156,IF(H156="M",G156*12,IF(H156="W",G156*Lookups!B$9,IF(H156="B",G156*+Lookups!B$10,IF(H156="S",G156*2,IF(AND(G156=0,I156&gt;0),I156,"ERROR"))))))))</f>
        <v>2650</v>
      </c>
      <c r="K156" s="26">
        <f t="shared" si="13"/>
        <v>-470</v>
      </c>
      <c r="L156" s="27" t="str">
        <f t="shared" si="12"/>
        <v>D</v>
      </c>
    </row>
    <row r="157" spans="1:17" x14ac:dyDescent="0.35">
      <c r="A157" s="30" t="s">
        <v>335</v>
      </c>
      <c r="B157" s="4" t="s">
        <v>336</v>
      </c>
      <c r="C157" s="24">
        <v>165</v>
      </c>
      <c r="D157" s="22"/>
      <c r="E157" s="13"/>
      <c r="F157" s="29">
        <f t="shared" si="11"/>
        <v>0</v>
      </c>
      <c r="G157" s="22"/>
      <c r="H157" s="28"/>
      <c r="I157" s="13"/>
      <c r="J157" s="29">
        <f>IF(G157="",0,IF(I157&gt;0,I157,IF(H157="A",G157,IF(H157="M",G157*12,IF(H157="W",G157*Lookups!B$9,IF(H157="B",G157*+Lookups!B$10,IF(H157="S",G157*2,IF(AND(G157=0,I157&gt;0),I157,"ERROR"))))))))</f>
        <v>0</v>
      </c>
      <c r="K157" s="26" t="str">
        <f t="shared" si="13"/>
        <v/>
      </c>
      <c r="L157" s="27" t="str">
        <f t="shared" si="12"/>
        <v/>
      </c>
    </row>
    <row r="158" spans="1:17" x14ac:dyDescent="0.35">
      <c r="A158" s="101" t="s">
        <v>193</v>
      </c>
      <c r="B158" s="102" t="s">
        <v>194</v>
      </c>
      <c r="C158" s="112">
        <v>3225</v>
      </c>
      <c r="D158" s="104">
        <v>3900</v>
      </c>
      <c r="E158" s="103">
        <v>2275</v>
      </c>
      <c r="F158" s="105">
        <f t="shared" si="11"/>
        <v>2275</v>
      </c>
      <c r="G158" s="104">
        <v>0</v>
      </c>
      <c r="H158" s="106" t="s">
        <v>47</v>
      </c>
      <c r="I158" s="103">
        <v>0</v>
      </c>
      <c r="J158" s="105">
        <f>IF(G158="",0,IF(I158&gt;0,I158,IF(H158="A",G158,IF(H158="M",G158*12,IF(H158="W",G158*Lookups!B$9,IF(H158="B",G158*+Lookups!B$10,IF(H158="S",G158*2,IF(AND(G158=0,I158&gt;0),I158,"ERROR"))))))))</f>
        <v>0</v>
      </c>
      <c r="K158" s="107">
        <f t="shared" si="13"/>
        <v>-3900</v>
      </c>
      <c r="L158" s="108" t="str">
        <f t="shared" si="12"/>
        <v>D</v>
      </c>
      <c r="M158" s="109" t="s">
        <v>532</v>
      </c>
      <c r="N158" s="109"/>
      <c r="O158" s="109"/>
      <c r="P158" s="110"/>
      <c r="Q158" s="111"/>
    </row>
    <row r="159" spans="1:17" x14ac:dyDescent="0.35">
      <c r="A159" s="30" t="s">
        <v>195</v>
      </c>
      <c r="B159" s="4" t="s">
        <v>196</v>
      </c>
      <c r="C159" s="24">
        <v>300</v>
      </c>
      <c r="D159" s="22">
        <v>260</v>
      </c>
      <c r="E159" s="13">
        <v>220</v>
      </c>
      <c r="F159" s="29">
        <f t="shared" si="11"/>
        <v>260</v>
      </c>
      <c r="G159" s="22">
        <v>20</v>
      </c>
      <c r="H159" s="28" t="s">
        <v>47</v>
      </c>
      <c r="I159" s="13"/>
      <c r="J159" s="29">
        <f>IF(G159="",0,IF(I159&gt;0,I159,IF(H159="A",G159,IF(H159="M",G159*12,IF(H159="W",G159*Lookups!B$9,IF(H159="B",G159*+Lookups!B$10,IF(H159="S",G159*2,IF(AND(G159=0,I159&gt;0),I159,"ERROR"))))))))</f>
        <v>240</v>
      </c>
      <c r="K159" s="26">
        <f t="shared" si="13"/>
        <v>-20</v>
      </c>
      <c r="L159" s="27" t="str">
        <f t="shared" si="12"/>
        <v>D</v>
      </c>
    </row>
    <row r="160" spans="1:17" x14ac:dyDescent="0.35">
      <c r="A160" s="30" t="s">
        <v>197</v>
      </c>
      <c r="B160" s="4" t="s">
        <v>198</v>
      </c>
      <c r="C160" s="24">
        <v>1100</v>
      </c>
      <c r="D160" s="22">
        <v>1200</v>
      </c>
      <c r="E160" s="13">
        <v>900</v>
      </c>
      <c r="F160" s="29">
        <f t="shared" si="11"/>
        <v>1200</v>
      </c>
      <c r="G160" s="22"/>
      <c r="H160" s="28" t="s">
        <v>47</v>
      </c>
      <c r="I160" s="13">
        <v>1000</v>
      </c>
      <c r="J160" s="29">
        <f>IF(G160="",0,IF(I160&gt;0,I160,IF(H160="A",G160,IF(H160="M",G160*12,IF(H160="W",G160*Lookups!B$9,IF(H160="B",G160*+Lookups!B$10,IF(H160="S",G160*2,IF(AND(G160=0,I160&gt;0),I160,"ERROR"))))))))</f>
        <v>0</v>
      </c>
      <c r="K160" s="26" t="str">
        <f t="shared" si="13"/>
        <v/>
      </c>
      <c r="L160" s="27" t="str">
        <f t="shared" si="12"/>
        <v>E</v>
      </c>
    </row>
    <row r="161" spans="1:18" x14ac:dyDescent="0.35">
      <c r="A161" s="30" t="s">
        <v>337</v>
      </c>
      <c r="B161" s="4" t="s">
        <v>338</v>
      </c>
      <c r="C161" s="24">
        <v>50</v>
      </c>
      <c r="D161" s="22"/>
      <c r="E161" s="13"/>
      <c r="F161" s="29">
        <f t="shared" si="11"/>
        <v>0</v>
      </c>
      <c r="G161" s="22"/>
      <c r="H161" s="28"/>
      <c r="I161" s="13"/>
      <c r="J161" s="29">
        <f>IF(G161="",0,IF(I161&gt;0,I161,IF(H161="A",G161,IF(H161="M",G161*12,IF(H161="W",G161*Lookups!B$9,IF(H161="B",G161*+Lookups!B$10,IF(H161="S",G161*2,IF(AND(G161=0,I161&gt;0),I161,"ERROR"))))))))</f>
        <v>0</v>
      </c>
      <c r="K161" s="26" t="str">
        <f t="shared" si="13"/>
        <v/>
      </c>
      <c r="L161" s="27" t="str">
        <f t="shared" si="12"/>
        <v/>
      </c>
    </row>
    <row r="162" spans="1:18" x14ac:dyDescent="0.35">
      <c r="A162" s="30" t="s">
        <v>199</v>
      </c>
      <c r="B162" s="4" t="s">
        <v>200</v>
      </c>
      <c r="C162" s="24">
        <v>3300</v>
      </c>
      <c r="D162" s="22">
        <v>3500</v>
      </c>
      <c r="E162" s="13">
        <v>2475</v>
      </c>
      <c r="F162" s="29">
        <f t="shared" si="11"/>
        <v>2475</v>
      </c>
      <c r="G162" s="22">
        <v>275</v>
      </c>
      <c r="H162" s="28" t="s">
        <v>47</v>
      </c>
      <c r="I162" s="13"/>
      <c r="J162" s="29">
        <f>IF(G162="",0,IF(I162&gt;0,I162,IF(H162="A",G162,IF(H162="M",G162*12,IF(H162="W",G162*Lookups!B$9,IF(H162="B",G162*+Lookups!B$10,IF(H162="S",G162*2,IF(AND(G162=0,I162&gt;0),I162,"ERROR"))))))))</f>
        <v>3300</v>
      </c>
      <c r="K162" s="26">
        <f t="shared" si="13"/>
        <v>-200</v>
      </c>
      <c r="L162" s="27" t="str">
        <f t="shared" si="12"/>
        <v>D</v>
      </c>
      <c r="M162" s="72" t="s">
        <v>509</v>
      </c>
      <c r="N162" s="73" t="s">
        <v>510</v>
      </c>
      <c r="O162" s="73" t="s">
        <v>417</v>
      </c>
      <c r="P162" s="74" t="s">
        <v>418</v>
      </c>
      <c r="Q162" s="75">
        <v>53406</v>
      </c>
    </row>
    <row r="163" spans="1:18" x14ac:dyDescent="0.35">
      <c r="A163" s="30" t="s">
        <v>339</v>
      </c>
      <c r="B163" s="4" t="s">
        <v>340</v>
      </c>
      <c r="C163" s="24">
        <v>50</v>
      </c>
      <c r="D163" s="22"/>
      <c r="E163" s="13"/>
      <c r="F163" s="29">
        <f t="shared" si="11"/>
        <v>0</v>
      </c>
      <c r="G163" s="22"/>
      <c r="H163" s="28"/>
      <c r="I163" s="13"/>
      <c r="J163" s="29">
        <f>IF(G163="",0,IF(I163&gt;0,I163,IF(H163="A",G163,IF(H163="M",G163*12,IF(H163="W",G163*Lookups!B$9,IF(H163="B",G163*+Lookups!B$10,IF(H163="S",G163*2,IF(AND(G163=0,I163&gt;0),I163,"ERROR"))))))))</f>
        <v>0</v>
      </c>
      <c r="K163" s="26" t="str">
        <f t="shared" si="13"/>
        <v/>
      </c>
      <c r="L163" s="27" t="str">
        <f t="shared" si="12"/>
        <v/>
      </c>
    </row>
    <row r="164" spans="1:18" x14ac:dyDescent="0.35">
      <c r="A164" s="30" t="s">
        <v>201</v>
      </c>
      <c r="B164" s="4" t="s">
        <v>202</v>
      </c>
      <c r="C164" s="24">
        <v>1060</v>
      </c>
      <c r="D164" s="22">
        <v>1144</v>
      </c>
      <c r="E164" s="13">
        <v>858</v>
      </c>
      <c r="F164" s="29">
        <f t="shared" si="11"/>
        <v>1144</v>
      </c>
      <c r="G164" s="22"/>
      <c r="H164" s="28" t="s">
        <v>46</v>
      </c>
      <c r="I164" s="13">
        <v>1000</v>
      </c>
      <c r="J164" s="29">
        <f>IF(G164="",0,IF(I164&gt;0,I164,IF(H164="A",G164,IF(H164="M",G164*12,IF(H164="W",G164*Lookups!B$9,IF(H164="B",G164*+Lookups!B$10,IF(H164="S",G164*2,IF(AND(G164=0,I164&gt;0),I164,"ERROR"))))))))</f>
        <v>0</v>
      </c>
      <c r="K164" s="26" t="str">
        <f t="shared" si="13"/>
        <v/>
      </c>
      <c r="L164" s="27" t="str">
        <f t="shared" si="12"/>
        <v>E</v>
      </c>
    </row>
    <row r="165" spans="1:18" x14ac:dyDescent="0.35">
      <c r="A165" s="30" t="s">
        <v>203</v>
      </c>
      <c r="B165" s="4" t="s">
        <v>204</v>
      </c>
      <c r="C165" s="24">
        <v>1500</v>
      </c>
      <c r="D165" s="22">
        <v>1200</v>
      </c>
      <c r="E165" s="13">
        <v>800</v>
      </c>
      <c r="F165" s="29">
        <f t="shared" si="11"/>
        <v>800</v>
      </c>
      <c r="G165" s="22">
        <v>100</v>
      </c>
      <c r="H165" s="28" t="s">
        <v>47</v>
      </c>
      <c r="I165" s="13"/>
      <c r="J165" s="29">
        <f>IF(G165="",0,IF(I165&gt;0,I165,IF(H165="A",G165,IF(H165="M",G165*12,IF(H165="W",G165*Lookups!B$9,IF(H165="B",G165*+Lookups!B$10,IF(H165="S",G165*2,IF(AND(G165=0,I165&gt;0),I165,"ERROR"))))))))</f>
        <v>1200</v>
      </c>
      <c r="K165" s="26">
        <f t="shared" si="13"/>
        <v>0</v>
      </c>
      <c r="L165" s="27" t="str">
        <f t="shared" si="12"/>
        <v>S</v>
      </c>
      <c r="N165" s="73" t="s">
        <v>511</v>
      </c>
      <c r="O165" s="73" t="s">
        <v>446</v>
      </c>
      <c r="P165" s="74" t="s">
        <v>418</v>
      </c>
      <c r="Q165" s="75">
        <v>53182</v>
      </c>
    </row>
    <row r="166" spans="1:18" x14ac:dyDescent="0.35">
      <c r="A166" s="30" t="s">
        <v>205</v>
      </c>
      <c r="B166" s="4" t="s">
        <v>206</v>
      </c>
      <c r="C166" s="24">
        <v>4275</v>
      </c>
      <c r="D166" s="22">
        <v>5980</v>
      </c>
      <c r="E166" s="13">
        <v>1840</v>
      </c>
      <c r="F166" s="29">
        <f t="shared" si="11"/>
        <v>1840</v>
      </c>
      <c r="G166" s="22"/>
      <c r="H166" s="28" t="s">
        <v>46</v>
      </c>
      <c r="I166" s="13">
        <v>2000</v>
      </c>
      <c r="J166" s="29">
        <f>IF(G166="",0,IF(I166&gt;0,I166,IF(H166="A",G166,IF(H166="M",G166*12,IF(H166="W",G166*Lookups!B$9,IF(H166="B",G166*+Lookups!B$10,IF(H166="S",G166*2,IF(AND(G166=0,I166&gt;0),I166,"ERROR"))))))))</f>
        <v>0</v>
      </c>
      <c r="K166" s="26" t="str">
        <f t="shared" si="13"/>
        <v/>
      </c>
      <c r="L166" s="27" t="str">
        <f t="shared" si="12"/>
        <v>E</v>
      </c>
    </row>
    <row r="167" spans="1:18" x14ac:dyDescent="0.35">
      <c r="A167" s="30" t="s">
        <v>207</v>
      </c>
      <c r="B167" s="4" t="s">
        <v>208</v>
      </c>
      <c r="C167" s="24">
        <v>200</v>
      </c>
      <c r="D167" s="22">
        <v>480</v>
      </c>
      <c r="E167" s="13">
        <v>450</v>
      </c>
      <c r="F167" s="29">
        <f t="shared" si="11"/>
        <v>480</v>
      </c>
      <c r="G167" s="22"/>
      <c r="H167" s="28" t="s">
        <v>47</v>
      </c>
      <c r="I167" s="13">
        <v>400</v>
      </c>
      <c r="J167" s="29">
        <f>IF(G167="",0,IF(I167&gt;0,I167,IF(H167="A",G167,IF(H167="M",G167*12,IF(H167="W",G167*Lookups!B$9,IF(H167="B",G167*+Lookups!B$10,IF(H167="S",G167*2,IF(AND(G167=0,I167&gt;0),I167,"ERROR"))))))))</f>
        <v>0</v>
      </c>
      <c r="K167" s="26" t="str">
        <f t="shared" si="13"/>
        <v/>
      </c>
      <c r="L167" s="27" t="str">
        <f t="shared" si="12"/>
        <v>E</v>
      </c>
    </row>
    <row r="168" spans="1:18" x14ac:dyDescent="0.35">
      <c r="A168" s="30" t="s">
        <v>341</v>
      </c>
      <c r="B168" s="4" t="s">
        <v>342</v>
      </c>
      <c r="C168" s="24">
        <v>1600</v>
      </c>
      <c r="D168" s="22"/>
      <c r="E168" s="13"/>
      <c r="F168" s="29">
        <f t="shared" si="11"/>
        <v>0</v>
      </c>
      <c r="G168" s="22"/>
      <c r="H168" s="28"/>
      <c r="I168" s="13"/>
      <c r="J168" s="29">
        <f>IF(G168="",0,IF(I168&gt;0,I168,IF(H168="A",G168,IF(H168="M",G168*12,IF(H168="W",G168*Lookups!B$9,IF(H168="B",G168*+Lookups!B$10,IF(H168="S",G168*2,IF(AND(G168=0,I168&gt;0),I168,"ERROR"))))))))</f>
        <v>0</v>
      </c>
      <c r="K168" s="26" t="str">
        <f t="shared" si="13"/>
        <v/>
      </c>
      <c r="L168" s="27" t="str">
        <f t="shared" si="12"/>
        <v/>
      </c>
    </row>
    <row r="169" spans="1:18" x14ac:dyDescent="0.35">
      <c r="A169" s="30" t="s">
        <v>343</v>
      </c>
      <c r="B169" s="4" t="s">
        <v>344</v>
      </c>
      <c r="C169" s="24">
        <v>345</v>
      </c>
      <c r="D169" s="22"/>
      <c r="E169" s="13">
        <v>425</v>
      </c>
      <c r="F169" s="29">
        <f t="shared" si="11"/>
        <v>425</v>
      </c>
      <c r="G169" s="22"/>
      <c r="H169" s="28"/>
      <c r="I169" s="13"/>
      <c r="J169" s="29">
        <f>IF(G169="",0,IF(I169&gt;0,I169,IF(H169="A",G169,IF(H169="M",G169*12,IF(H169="W",G169*Lookups!B$9,IF(H169="B",G169*+Lookups!B$10,IF(H169="S",G169*2,IF(AND(G169=0,I169&gt;0),I169,"ERROR"))))))))</f>
        <v>0</v>
      </c>
      <c r="K169" s="26" t="str">
        <f t="shared" si="13"/>
        <v/>
      </c>
      <c r="L169" s="27" t="str">
        <f t="shared" ref="L169:L200" si="14">IF(AND(I169&gt;0,D169=0,G169=0),"X",IF(AND(I169&gt;0,D169&gt;0),"E",IF(K169="","",IF(K169=0,"S",IF(AND(K169&gt;0,NOT(D169=0)),"I",IF(AND(K169&gt;0,D169=0),"N",IF(K169&lt;0,"D","ERROR")))))))</f>
        <v/>
      </c>
    </row>
    <row r="170" spans="1:18" x14ac:dyDescent="0.35">
      <c r="A170" s="101" t="s">
        <v>345</v>
      </c>
      <c r="B170" s="102" t="s">
        <v>346</v>
      </c>
      <c r="C170" s="112">
        <v>700</v>
      </c>
      <c r="D170" s="104"/>
      <c r="E170" s="103">
        <v>480</v>
      </c>
      <c r="F170" s="105">
        <f t="shared" si="11"/>
        <v>480</v>
      </c>
      <c r="G170" s="104"/>
      <c r="H170" s="106"/>
      <c r="I170" s="103"/>
      <c r="J170" s="105">
        <f>IF(G170="",0,IF(I170&gt;0,I170,IF(H170="A",G170,IF(H170="M",G170*12,IF(H170="W",G170*Lookups!B$9,IF(H170="B",G170*+Lookups!B$10,IF(H170="S",G170*2,IF(AND(G170=0,I170&gt;0),I170,"ERROR"))))))))</f>
        <v>0</v>
      </c>
      <c r="K170" s="107" t="str">
        <f t="shared" si="13"/>
        <v/>
      </c>
      <c r="L170" s="108" t="str">
        <f t="shared" si="14"/>
        <v/>
      </c>
      <c r="M170" s="113" t="s">
        <v>512</v>
      </c>
      <c r="N170" s="109" t="s">
        <v>513</v>
      </c>
      <c r="O170" s="109" t="s">
        <v>514</v>
      </c>
      <c r="P170" s="110" t="s">
        <v>418</v>
      </c>
      <c r="Q170" s="111">
        <v>54495</v>
      </c>
      <c r="R170" s="73" t="s">
        <v>515</v>
      </c>
    </row>
    <row r="171" spans="1:18" x14ac:dyDescent="0.35">
      <c r="A171" s="30" t="s">
        <v>209</v>
      </c>
      <c r="B171" s="4" t="s">
        <v>210</v>
      </c>
      <c r="C171" s="24">
        <v>492</v>
      </c>
      <c r="D171" s="22">
        <v>260</v>
      </c>
      <c r="E171" s="13">
        <v>388</v>
      </c>
      <c r="F171" s="29">
        <f t="shared" si="11"/>
        <v>388</v>
      </c>
      <c r="G171" s="22">
        <v>7</v>
      </c>
      <c r="H171" s="28" t="s">
        <v>46</v>
      </c>
      <c r="I171" s="13"/>
      <c r="J171" s="29">
        <f>IF(G171="",0,IF(I171&gt;0,I171,IF(H171="A",G171,IF(H171="M",G171*12,IF(H171="W",G171*Lookups!B$9,IF(H171="B",G171*+Lookups!B$10,IF(H171="S",G171*2,IF(AND(G171=0,I171&gt;0),I171,"ERROR"))))))))</f>
        <v>371</v>
      </c>
      <c r="K171" s="26">
        <f t="shared" si="13"/>
        <v>111</v>
      </c>
      <c r="L171" s="27" t="str">
        <f t="shared" si="14"/>
        <v>I</v>
      </c>
      <c r="N171" s="73" t="s">
        <v>518</v>
      </c>
      <c r="O171" s="73" t="s">
        <v>443</v>
      </c>
      <c r="P171" s="74" t="s">
        <v>418</v>
      </c>
      <c r="Q171" s="75">
        <v>53405</v>
      </c>
    </row>
    <row r="172" spans="1:18" x14ac:dyDescent="0.35">
      <c r="A172" s="101" t="s">
        <v>347</v>
      </c>
      <c r="B172" s="102" t="s">
        <v>348</v>
      </c>
      <c r="C172" s="112">
        <v>600</v>
      </c>
      <c r="D172" s="104"/>
      <c r="E172" s="103"/>
      <c r="F172" s="105">
        <f t="shared" si="11"/>
        <v>0</v>
      </c>
      <c r="G172" s="104"/>
      <c r="H172" s="106"/>
      <c r="I172" s="103"/>
      <c r="J172" s="105">
        <f>IF(G172="",0,IF(I172&gt;0,I172,IF(H172="A",G172,IF(H172="M",G172*12,IF(H172="W",G172*Lookups!B$9,IF(H172="B",G172*+Lookups!B$10,IF(H172="S",G172*2,IF(AND(G172=0,I172&gt;0),I172,"ERROR"))))))))</f>
        <v>0</v>
      </c>
      <c r="K172" s="107" t="str">
        <f t="shared" si="13"/>
        <v/>
      </c>
      <c r="L172" s="108" t="str">
        <f t="shared" si="14"/>
        <v/>
      </c>
      <c r="M172" s="109" t="s">
        <v>536</v>
      </c>
      <c r="N172" s="109"/>
      <c r="O172" s="109"/>
      <c r="P172" s="110"/>
      <c r="Q172" s="111"/>
    </row>
    <row r="173" spans="1:18" x14ac:dyDescent="0.35">
      <c r="A173" s="30" t="s">
        <v>349</v>
      </c>
      <c r="B173" s="4" t="s">
        <v>350</v>
      </c>
      <c r="C173" s="24">
        <v>600</v>
      </c>
      <c r="D173" s="22"/>
      <c r="E173" s="13"/>
      <c r="F173" s="29">
        <f t="shared" si="11"/>
        <v>0</v>
      </c>
      <c r="G173" s="22">
        <v>600</v>
      </c>
      <c r="H173" s="28" t="s">
        <v>43</v>
      </c>
      <c r="I173" s="13"/>
      <c r="J173" s="29">
        <f>IF(G173="",0,IF(I173&gt;0,I173,IF(H173="A",G173,IF(H173="M",G173*12,IF(H173="W",G173*Lookups!B$9,IF(H173="B",G173*+Lookups!B$10,IF(H173="S",G173*2,IF(AND(G173=0,I173&gt;0),I173,"ERROR"))))))))</f>
        <v>600</v>
      </c>
      <c r="K173" s="26">
        <f t="shared" si="13"/>
        <v>600</v>
      </c>
      <c r="L173" s="27" t="str">
        <f t="shared" si="14"/>
        <v>N</v>
      </c>
    </row>
    <row r="174" spans="1:18" x14ac:dyDescent="0.35">
      <c r="A174" s="101" t="s">
        <v>349</v>
      </c>
      <c r="B174" s="102" t="s">
        <v>351</v>
      </c>
      <c r="C174" s="112">
        <v>502</v>
      </c>
      <c r="D174" s="104"/>
      <c r="E174" s="103"/>
      <c r="F174" s="105">
        <f t="shared" si="11"/>
        <v>0</v>
      </c>
      <c r="G174" s="104"/>
      <c r="H174" s="106"/>
      <c r="I174" s="103"/>
      <c r="J174" s="105">
        <f>IF(G174="",0,IF(I174&gt;0,I174,IF(H174="A",G174,IF(H174="M",G174*12,IF(H174="W",G174*Lookups!B$9,IF(H174="B",G174*+Lookups!B$10,IF(H174="S",G174*2,IF(AND(G174=0,I174&gt;0),I174,"ERROR"))))))))</f>
        <v>0</v>
      </c>
      <c r="K174" s="107" t="str">
        <f t="shared" si="13"/>
        <v/>
      </c>
      <c r="L174" s="108" t="str">
        <f t="shared" si="14"/>
        <v/>
      </c>
      <c r="M174" s="109" t="s">
        <v>532</v>
      </c>
      <c r="N174" s="109"/>
      <c r="O174" s="109"/>
      <c r="P174" s="110"/>
      <c r="Q174" s="111"/>
    </row>
    <row r="175" spans="1:18" x14ac:dyDescent="0.35">
      <c r="A175" s="30" t="s">
        <v>352</v>
      </c>
      <c r="B175" s="4" t="s">
        <v>353</v>
      </c>
      <c r="C175" s="24">
        <v>4100</v>
      </c>
      <c r="D175" s="22"/>
      <c r="E175" s="13">
        <v>3600</v>
      </c>
      <c r="F175" s="29">
        <f t="shared" si="11"/>
        <v>3600</v>
      </c>
      <c r="G175" s="22">
        <v>110</v>
      </c>
      <c r="H175" s="28" t="s">
        <v>46</v>
      </c>
      <c r="I175" s="13"/>
      <c r="J175" s="29">
        <f>IF(G175="",0,IF(I175&gt;0,I175,IF(H175="A",G175,IF(H175="M",G175*12,IF(H175="W",G175*Lookups!B$9,IF(H175="B",G175*+Lookups!B$10,IF(H175="S",G175*2,IF(AND(G175=0,I175&gt;0),I175,"ERROR"))))))))</f>
        <v>5830</v>
      </c>
      <c r="K175" s="26">
        <f t="shared" si="13"/>
        <v>5830</v>
      </c>
      <c r="L175" s="27" t="str">
        <f t="shared" si="14"/>
        <v>N</v>
      </c>
    </row>
    <row r="176" spans="1:18" x14ac:dyDescent="0.35">
      <c r="A176" s="30" t="s">
        <v>211</v>
      </c>
      <c r="B176" s="4" t="s">
        <v>212</v>
      </c>
      <c r="C176" s="24">
        <v>60</v>
      </c>
      <c r="D176" s="22">
        <v>240</v>
      </c>
      <c r="E176" s="13">
        <v>40</v>
      </c>
      <c r="F176" s="29">
        <f t="shared" si="11"/>
        <v>40</v>
      </c>
      <c r="G176" s="22"/>
      <c r="H176" s="28" t="s">
        <v>47</v>
      </c>
      <c r="I176" s="13"/>
      <c r="J176" s="29">
        <f>IF(G176="",0,IF(I176&gt;0,I176,IF(H176="A",G176,IF(H176="M",G176*12,IF(H176="W",G176*Lookups!B$9,IF(H176="B",G176*+Lookups!B$10,IF(H176="S",G176*2,IF(AND(G176=0,I176&gt;0),I176,"ERROR"))))))))</f>
        <v>0</v>
      </c>
      <c r="K176" s="26">
        <f t="shared" si="13"/>
        <v>-240</v>
      </c>
      <c r="L176" s="27" t="str">
        <f t="shared" si="14"/>
        <v>D</v>
      </c>
    </row>
    <row r="177" spans="1:17" x14ac:dyDescent="0.35">
      <c r="A177" s="101" t="s">
        <v>354</v>
      </c>
      <c r="B177" s="102" t="s">
        <v>355</v>
      </c>
      <c r="C177" s="112">
        <v>500</v>
      </c>
      <c r="D177" s="104"/>
      <c r="E177" s="103"/>
      <c r="F177" s="105">
        <f t="shared" si="11"/>
        <v>0</v>
      </c>
      <c r="G177" s="104"/>
      <c r="H177" s="106"/>
      <c r="I177" s="103"/>
      <c r="J177" s="105">
        <f>IF(G177="",0,IF(I177&gt;0,I177,IF(H177="A",G177,IF(H177="M",G177*12,IF(H177="W",G177*Lookups!B$9,IF(H177="B",G177*+Lookups!B$10,IF(H177="S",G177*2,IF(AND(G177=0,I177&gt;0),I177,"ERROR"))))))))</f>
        <v>0</v>
      </c>
      <c r="K177" s="107" t="str">
        <f t="shared" si="13"/>
        <v/>
      </c>
      <c r="L177" s="108" t="str">
        <f t="shared" si="14"/>
        <v/>
      </c>
      <c r="M177" s="109" t="s">
        <v>532</v>
      </c>
      <c r="N177" s="109"/>
      <c r="O177" s="109"/>
      <c r="P177" s="110"/>
      <c r="Q177" s="111"/>
    </row>
    <row r="178" spans="1:17" x14ac:dyDescent="0.35">
      <c r="A178" s="30" t="s">
        <v>356</v>
      </c>
      <c r="B178" s="4" t="s">
        <v>357</v>
      </c>
      <c r="C178" s="24">
        <v>1300</v>
      </c>
      <c r="D178" s="22"/>
      <c r="E178" s="13">
        <v>1050</v>
      </c>
      <c r="F178" s="29">
        <f t="shared" si="11"/>
        <v>1050</v>
      </c>
      <c r="G178" s="22"/>
      <c r="H178" s="28"/>
      <c r="I178" s="13">
        <v>1300</v>
      </c>
      <c r="J178" s="29">
        <f>IF(G178="",0,IF(I178&gt;0,I178,IF(H178="A",G178,IF(H178="M",G178*12,IF(H178="W",G178*Lookups!B$9,IF(H178="B",G178*+Lookups!B$10,IF(H178="S",G178*2,IF(AND(G178=0,I178&gt;0),I178,"ERROR"))))))))</f>
        <v>0</v>
      </c>
      <c r="K178" s="26" t="str">
        <f t="shared" si="13"/>
        <v/>
      </c>
      <c r="L178" s="27" t="str">
        <f t="shared" si="14"/>
        <v>X</v>
      </c>
    </row>
    <row r="179" spans="1:17" x14ac:dyDescent="0.35">
      <c r="A179" s="30" t="s">
        <v>213</v>
      </c>
      <c r="B179" s="4" t="s">
        <v>214</v>
      </c>
      <c r="C179" s="24">
        <v>1065</v>
      </c>
      <c r="D179" s="22">
        <v>1040</v>
      </c>
      <c r="E179" s="13">
        <v>775</v>
      </c>
      <c r="F179" s="29">
        <f t="shared" si="11"/>
        <v>1040</v>
      </c>
      <c r="G179" s="22">
        <v>20</v>
      </c>
      <c r="H179" s="28" t="s">
        <v>46</v>
      </c>
      <c r="I179" s="13"/>
      <c r="J179" s="29">
        <f>IF(G179="",0,IF(I179&gt;0,I179,IF(H179="A",G179,IF(H179="M",G179*12,IF(H179="W",G179*Lookups!B$9,IF(H179="B",G179*+Lookups!B$10,IF(H179="S",G179*2,IF(AND(G179=0,I179&gt;0),I179,"ERROR"))))))))</f>
        <v>1060</v>
      </c>
      <c r="K179" s="26">
        <f t="shared" si="13"/>
        <v>20</v>
      </c>
      <c r="L179" s="27" t="str">
        <f t="shared" si="14"/>
        <v>I</v>
      </c>
      <c r="M179" s="72" t="s">
        <v>516</v>
      </c>
      <c r="N179" s="73" t="s">
        <v>517</v>
      </c>
      <c r="O179" s="73" t="s">
        <v>443</v>
      </c>
      <c r="P179" s="74" t="s">
        <v>418</v>
      </c>
      <c r="Q179" s="75">
        <v>53405</v>
      </c>
    </row>
    <row r="180" spans="1:17" x14ac:dyDescent="0.35">
      <c r="A180" s="30" t="s">
        <v>358</v>
      </c>
      <c r="B180" s="4" t="s">
        <v>359</v>
      </c>
      <c r="C180" s="24">
        <v>130</v>
      </c>
      <c r="D180" s="22"/>
      <c r="E180" s="13">
        <v>100</v>
      </c>
      <c r="F180" s="29">
        <f t="shared" si="11"/>
        <v>100</v>
      </c>
      <c r="G180" s="22"/>
      <c r="H180" s="28"/>
      <c r="I180" s="13"/>
      <c r="J180" s="29">
        <f>IF(G180="",0,IF(I180&gt;0,I180,IF(H180="A",G180,IF(H180="M",G180*12,IF(H180="W",G180*Lookups!B$9,IF(H180="B",G180*+Lookups!B$10,IF(H180="S",G180*2,IF(AND(G180=0,I180&gt;0),I180,"ERROR"))))))))</f>
        <v>0</v>
      </c>
      <c r="K180" s="26" t="str">
        <f t="shared" si="13"/>
        <v/>
      </c>
      <c r="L180" s="27" t="str">
        <f t="shared" si="14"/>
        <v/>
      </c>
    </row>
    <row r="181" spans="1:17" x14ac:dyDescent="0.35">
      <c r="A181" s="30" t="s">
        <v>215</v>
      </c>
      <c r="B181" s="4" t="s">
        <v>216</v>
      </c>
      <c r="C181" s="24">
        <v>1188</v>
      </c>
      <c r="D181" s="22">
        <v>1248</v>
      </c>
      <c r="E181" s="13">
        <v>884</v>
      </c>
      <c r="F181" s="29">
        <f t="shared" si="11"/>
        <v>884</v>
      </c>
      <c r="G181" s="22">
        <v>24</v>
      </c>
      <c r="H181" s="28" t="s">
        <v>46</v>
      </c>
      <c r="I181" s="13"/>
      <c r="J181" s="29">
        <f>IF(G181="",0,IF(I181&gt;0,I181,IF(H181="A",G181,IF(H181="M",G181*12,IF(H181="W",G181*Lookups!B$9,IF(H181="B",G181*+Lookups!B$10,IF(H181="S",G181*2,IF(AND(G181=0,I181&gt;0),I181,"ERROR"))))))))</f>
        <v>1272</v>
      </c>
      <c r="K181" s="26">
        <f t="shared" si="13"/>
        <v>24</v>
      </c>
      <c r="L181" s="27" t="str">
        <f t="shared" si="14"/>
        <v>I</v>
      </c>
    </row>
    <row r="182" spans="1:17" x14ac:dyDescent="0.35">
      <c r="A182" s="30" t="s">
        <v>360</v>
      </c>
      <c r="B182" s="4" t="s">
        <v>361</v>
      </c>
      <c r="C182" s="24">
        <v>2700</v>
      </c>
      <c r="D182" s="22"/>
      <c r="E182" s="13">
        <v>1800</v>
      </c>
      <c r="F182" s="29">
        <f t="shared" si="11"/>
        <v>1800</v>
      </c>
      <c r="G182" s="22"/>
      <c r="H182" s="28"/>
      <c r="I182" s="13">
        <v>2000</v>
      </c>
      <c r="J182" s="29">
        <f>IF(G182="",0,IF(I182&gt;0,I182,IF(H182="A",G182,IF(H182="M",G182*12,IF(H182="W",G182*Lookups!B$9,IF(H182="B",G182*+Lookups!B$10,IF(H182="S",G182*2,IF(AND(G182=0,I182&gt;0),I182,"ERROR"))))))))</f>
        <v>0</v>
      </c>
      <c r="K182" s="26" t="str">
        <f t="shared" si="13"/>
        <v/>
      </c>
      <c r="L182" s="27" t="str">
        <f t="shared" si="14"/>
        <v>X</v>
      </c>
    </row>
    <row r="183" spans="1:17" x14ac:dyDescent="0.35">
      <c r="A183" s="101" t="s">
        <v>217</v>
      </c>
      <c r="B183" s="102" t="s">
        <v>218</v>
      </c>
      <c r="C183" s="112">
        <v>195</v>
      </c>
      <c r="D183" s="104">
        <v>130</v>
      </c>
      <c r="E183" s="103">
        <v>30</v>
      </c>
      <c r="F183" s="105">
        <f t="shared" si="11"/>
        <v>30</v>
      </c>
      <c r="G183" s="104"/>
      <c r="H183" s="106" t="s">
        <v>46</v>
      </c>
      <c r="I183" s="103"/>
      <c r="J183" s="105">
        <f>IF(G183="",0,IF(I183&gt;0,I183,IF(H183="A",G183,IF(H183="M",G183*12,IF(H183="W",G183*Lookups!B$9,IF(H183="B",G183*+Lookups!B$10,IF(H183="S",G183*2,IF(AND(G183=0,I183&gt;0),I183,"ERROR"))))))))</f>
        <v>0</v>
      </c>
      <c r="K183" s="107">
        <f t="shared" si="13"/>
        <v>-130</v>
      </c>
      <c r="L183" s="108" t="str">
        <f t="shared" si="14"/>
        <v>D</v>
      </c>
      <c r="M183" s="109" t="s">
        <v>535</v>
      </c>
      <c r="N183" s="109"/>
      <c r="O183" s="109"/>
      <c r="P183" s="110"/>
      <c r="Q183" s="111"/>
    </row>
    <row r="184" spans="1:17" x14ac:dyDescent="0.35">
      <c r="A184" s="30" t="s">
        <v>362</v>
      </c>
      <c r="B184" s="4" t="s">
        <v>363</v>
      </c>
      <c r="C184" s="24">
        <v>1200</v>
      </c>
      <c r="D184" s="22"/>
      <c r="E184" s="13">
        <v>1075</v>
      </c>
      <c r="F184" s="29">
        <f t="shared" si="11"/>
        <v>1075</v>
      </c>
      <c r="G184" s="22"/>
      <c r="H184" s="28"/>
      <c r="I184" s="13">
        <v>1200</v>
      </c>
      <c r="J184" s="29">
        <f>IF(G184="",0,IF(I184&gt;0,I184,IF(H184="A",G184,IF(H184="M",G184*12,IF(H184="W",G184*Lookups!B$9,IF(H184="B",G184*+Lookups!B$10,IF(H184="S",G184*2,IF(AND(G184=0,I184&gt;0),I184,"ERROR"))))))))</f>
        <v>0</v>
      </c>
      <c r="K184" s="26" t="str">
        <f t="shared" si="13"/>
        <v/>
      </c>
      <c r="L184" s="27" t="str">
        <f t="shared" si="14"/>
        <v>X</v>
      </c>
    </row>
    <row r="185" spans="1:17" x14ac:dyDescent="0.35">
      <c r="A185" s="30" t="s">
        <v>364</v>
      </c>
      <c r="B185" s="4" t="s">
        <v>179</v>
      </c>
      <c r="C185" s="24">
        <v>1400</v>
      </c>
      <c r="D185" s="22"/>
      <c r="E185" s="13"/>
      <c r="F185" s="29">
        <f t="shared" si="11"/>
        <v>0</v>
      </c>
      <c r="G185" s="22"/>
      <c r="H185" s="28"/>
      <c r="I185" s="13"/>
      <c r="J185" s="29">
        <f>IF(G185="",0,IF(I185&gt;0,I185,IF(H185="A",G185,IF(H185="M",G185*12,IF(H185="W",G185*Lookups!B$9,IF(H185="B",G185*+Lookups!B$10,IF(H185="S",G185*2,IF(AND(G185=0,I185&gt;0),I185,"ERROR"))))))))</f>
        <v>0</v>
      </c>
      <c r="K185" s="26" t="str">
        <f t="shared" si="13"/>
        <v/>
      </c>
      <c r="L185" s="27" t="str">
        <f t="shared" si="14"/>
        <v/>
      </c>
    </row>
    <row r="186" spans="1:17" x14ac:dyDescent="0.35">
      <c r="A186" s="30" t="s">
        <v>365</v>
      </c>
      <c r="B186" s="4" t="s">
        <v>366</v>
      </c>
      <c r="C186" s="24">
        <v>110</v>
      </c>
      <c r="D186" s="22"/>
      <c r="E186" s="13">
        <v>60</v>
      </c>
      <c r="F186" s="29">
        <f t="shared" si="11"/>
        <v>60</v>
      </c>
      <c r="G186" s="22"/>
      <c r="H186" s="28"/>
      <c r="I186" s="13"/>
      <c r="J186" s="29">
        <f>IF(G186="",0,IF(I186&gt;0,I186,IF(H186="A",G186,IF(H186="M",G186*12,IF(H186="W",G186*Lookups!B$9,IF(H186="B",G186*+Lookups!B$10,IF(H186="S",G186*2,IF(AND(G186=0,I186&gt;0),I186,"ERROR"))))))))</f>
        <v>0</v>
      </c>
      <c r="K186" s="26" t="str">
        <f t="shared" si="13"/>
        <v/>
      </c>
      <c r="L186" s="27" t="str">
        <f t="shared" si="14"/>
        <v/>
      </c>
    </row>
    <row r="187" spans="1:17" x14ac:dyDescent="0.35">
      <c r="A187" s="30" t="s">
        <v>219</v>
      </c>
      <c r="B187" s="4" t="s">
        <v>220</v>
      </c>
      <c r="C187" s="24">
        <v>2600</v>
      </c>
      <c r="D187" s="22">
        <v>2912</v>
      </c>
      <c r="E187" s="13">
        <v>2184</v>
      </c>
      <c r="F187" s="29">
        <f t="shared" si="11"/>
        <v>2912</v>
      </c>
      <c r="G187" s="22">
        <v>260</v>
      </c>
      <c r="H187" s="28" t="s">
        <v>47</v>
      </c>
      <c r="I187" s="13"/>
      <c r="J187" s="29">
        <f>IF(G187="",0,IF(I187&gt;0,I187,IF(H187="A",G187,IF(H187="M",G187*12,IF(H187="W",G187*Lookups!B$9,IF(H187="B",G187*+Lookups!B$10,IF(H187="S",G187*2,IF(AND(G187=0,I187&gt;0),I187,"ERROR"))))))))</f>
        <v>3120</v>
      </c>
      <c r="K187" s="26">
        <f t="shared" si="13"/>
        <v>208</v>
      </c>
      <c r="L187" s="27" t="str">
        <f t="shared" si="14"/>
        <v>I</v>
      </c>
      <c r="M187" s="72" t="s">
        <v>519</v>
      </c>
      <c r="N187" s="73" t="s">
        <v>520</v>
      </c>
      <c r="O187" s="73" t="s">
        <v>443</v>
      </c>
      <c r="P187" s="74" t="s">
        <v>418</v>
      </c>
      <c r="Q187" s="75">
        <v>53405</v>
      </c>
    </row>
    <row r="188" spans="1:17" x14ac:dyDescent="0.35">
      <c r="A188" s="30" t="s">
        <v>221</v>
      </c>
      <c r="B188" s="4" t="s">
        <v>222</v>
      </c>
      <c r="C188" s="24">
        <v>1620</v>
      </c>
      <c r="D188" s="22">
        <v>1680</v>
      </c>
      <c r="E188" s="13">
        <v>1260</v>
      </c>
      <c r="F188" s="29">
        <f t="shared" si="11"/>
        <v>1680</v>
      </c>
      <c r="G188" s="22">
        <v>140</v>
      </c>
      <c r="H188" s="28" t="s">
        <v>47</v>
      </c>
      <c r="I188" s="13"/>
      <c r="J188" s="29">
        <f>IF(G188="",0,IF(I188&gt;0,I188,IF(H188="A",G188,IF(H188="M",G188*12,IF(H188="W",G188*Lookups!B$9,IF(H188="B",G188*+Lookups!B$10,IF(H188="S",G188*2,IF(AND(G188=0,I188&gt;0),I188,"ERROR"))))))))</f>
        <v>1680</v>
      </c>
      <c r="K188" s="26">
        <f t="shared" si="13"/>
        <v>0</v>
      </c>
      <c r="L188" s="27" t="str">
        <f t="shared" si="14"/>
        <v>S</v>
      </c>
    </row>
    <row r="189" spans="1:17" x14ac:dyDescent="0.35">
      <c r="A189" s="30" t="s">
        <v>223</v>
      </c>
      <c r="B189" s="4" t="s">
        <v>22</v>
      </c>
      <c r="C189" s="24">
        <v>16900</v>
      </c>
      <c r="D189" s="22">
        <v>17750</v>
      </c>
      <c r="E189" s="13"/>
      <c r="F189" s="29"/>
      <c r="G189" s="22"/>
      <c r="H189" s="28" t="s">
        <v>43</v>
      </c>
      <c r="I189" s="13">
        <v>17000</v>
      </c>
      <c r="J189" s="29">
        <f>IF(G189="",0,IF(I189&gt;0,I189,IF(H189="A",G189,IF(H189="M",G189*12,IF(H189="W",G189*Lookups!B$9,IF(H189="B",G189*+Lookups!B$10,IF(H189="S",G189*2,IF(AND(G189=0,I189&gt;0),I189,"ERROR"))))))))</f>
        <v>0</v>
      </c>
      <c r="K189" s="26" t="str">
        <f t="shared" si="13"/>
        <v/>
      </c>
      <c r="L189" s="27" t="str">
        <f t="shared" si="14"/>
        <v>E</v>
      </c>
    </row>
    <row r="190" spans="1:17" x14ac:dyDescent="0.35">
      <c r="A190" s="30" t="s">
        <v>224</v>
      </c>
      <c r="B190" s="4" t="s">
        <v>398</v>
      </c>
      <c r="C190" s="24"/>
      <c r="D190" s="22"/>
      <c r="E190" s="13">
        <v>15</v>
      </c>
      <c r="F190" s="29">
        <f t="shared" si="11"/>
        <v>15</v>
      </c>
      <c r="G190" s="22"/>
      <c r="H190" s="28"/>
      <c r="I190" s="13"/>
      <c r="J190" s="29">
        <f>IF(G190="",0,IF(I190&gt;0,I190,IF(H190="A",G190,IF(H190="M",G190*12,IF(H190="W",G190*Lookups!B$9,IF(H190="B",G190*+Lookups!B$10,IF(H190="S",G190*2,IF(AND(G190=0,I190&gt;0),I190,"ERROR"))))))))</f>
        <v>0</v>
      </c>
      <c r="K190" s="26" t="str">
        <f t="shared" si="13"/>
        <v/>
      </c>
      <c r="L190" s="27" t="str">
        <f t="shared" si="14"/>
        <v/>
      </c>
    </row>
    <row r="191" spans="1:17" x14ac:dyDescent="0.35">
      <c r="A191" s="30" t="s">
        <v>224</v>
      </c>
      <c r="B191" s="4" t="s">
        <v>225</v>
      </c>
      <c r="C191" s="24">
        <v>1500</v>
      </c>
      <c r="D191" s="22">
        <v>1500</v>
      </c>
      <c r="E191" s="13">
        <v>1000</v>
      </c>
      <c r="F191" s="29">
        <f t="shared" si="11"/>
        <v>1000</v>
      </c>
      <c r="G191" s="22"/>
      <c r="H191" s="28" t="s">
        <v>47</v>
      </c>
      <c r="I191" s="13">
        <v>1000</v>
      </c>
      <c r="J191" s="29">
        <f>IF(G191="",0,IF(I191&gt;0,I191,IF(H191="A",G191,IF(H191="M",G191*12,IF(H191="W",G191*Lookups!B$9,IF(H191="B",G191*+Lookups!B$10,IF(H191="S",G191*2,IF(AND(G191=0,I191&gt;0),I191,"ERROR"))))))))</f>
        <v>0</v>
      </c>
      <c r="K191" s="26" t="str">
        <f t="shared" si="13"/>
        <v/>
      </c>
      <c r="L191" s="27" t="str">
        <f t="shared" si="14"/>
        <v>E</v>
      </c>
    </row>
    <row r="192" spans="1:17" x14ac:dyDescent="0.35">
      <c r="A192" s="30" t="s">
        <v>224</v>
      </c>
      <c r="B192" s="4" t="s">
        <v>399</v>
      </c>
      <c r="C192" s="24"/>
      <c r="D192" s="22"/>
      <c r="E192" s="13">
        <v>5</v>
      </c>
      <c r="F192" s="29">
        <f t="shared" si="11"/>
        <v>5</v>
      </c>
      <c r="G192" s="22"/>
      <c r="H192" s="28"/>
      <c r="I192" s="13"/>
      <c r="J192" s="29">
        <f>IF(G192="",0,IF(I192&gt;0,I192,IF(H192="A",G192,IF(H192="M",G192*12,IF(H192="W",G192*Lookups!B$9,IF(H192="B",G192*+Lookups!B$10,IF(H192="S",G192*2,IF(AND(G192=0,I192&gt;0),I192,"ERROR"))))))))</f>
        <v>0</v>
      </c>
      <c r="K192" s="26" t="str">
        <f t="shared" si="13"/>
        <v/>
      </c>
      <c r="L192" s="27" t="str">
        <f t="shared" si="14"/>
        <v/>
      </c>
    </row>
    <row r="193" spans="1:17" x14ac:dyDescent="0.35">
      <c r="A193" s="30" t="s">
        <v>367</v>
      </c>
      <c r="B193" s="4" t="s">
        <v>368</v>
      </c>
      <c r="C193" s="24">
        <v>50</v>
      </c>
      <c r="D193" s="22"/>
      <c r="E193" s="13"/>
      <c r="F193" s="29">
        <f t="shared" si="11"/>
        <v>0</v>
      </c>
      <c r="G193" s="22"/>
      <c r="H193" s="28"/>
      <c r="I193" s="13"/>
      <c r="J193" s="29">
        <f>IF(G193="",0,IF(I193&gt;0,I193,IF(H193="A",G193,IF(H193="M",G193*12,IF(H193="W",G193*Lookups!B$9,IF(H193="B",G193*+Lookups!B$10,IF(H193="S",G193*2,IF(AND(G193=0,I193&gt;0),I193,"ERROR"))))))))</f>
        <v>0</v>
      </c>
      <c r="K193" s="26" t="str">
        <f t="shared" si="13"/>
        <v/>
      </c>
      <c r="L193" s="27" t="str">
        <f t="shared" si="14"/>
        <v/>
      </c>
    </row>
    <row r="194" spans="1:17" x14ac:dyDescent="0.35">
      <c r="A194" s="30" t="s">
        <v>226</v>
      </c>
      <c r="B194" s="4" t="s">
        <v>227</v>
      </c>
      <c r="C194" s="24">
        <v>1060</v>
      </c>
      <c r="D194" s="22">
        <v>1040</v>
      </c>
      <c r="E194" s="13">
        <v>780</v>
      </c>
      <c r="F194" s="29">
        <f t="shared" si="11"/>
        <v>1040</v>
      </c>
      <c r="G194" s="22">
        <v>20</v>
      </c>
      <c r="H194" s="28" t="s">
        <v>46</v>
      </c>
      <c r="I194" s="13"/>
      <c r="J194" s="29">
        <f>IF(G194="",0,IF(I194&gt;0,I194,IF(H194="A",G194,IF(H194="M",G194*12,IF(H194="W",G194*Lookups!B$9,IF(H194="B",G194*+Lookups!B$10,IF(H194="S",G194*2,IF(AND(G194=0,I194&gt;0),I194,"ERROR"))))))))</f>
        <v>1060</v>
      </c>
      <c r="K194" s="26">
        <f t="shared" si="13"/>
        <v>20</v>
      </c>
      <c r="L194" s="27" t="str">
        <f t="shared" si="14"/>
        <v>I</v>
      </c>
    </row>
    <row r="195" spans="1:17" x14ac:dyDescent="0.35">
      <c r="A195" s="30" t="s">
        <v>228</v>
      </c>
      <c r="B195" s="4" t="s">
        <v>229</v>
      </c>
      <c r="C195" s="24">
        <v>1500</v>
      </c>
      <c r="D195" s="22">
        <v>1500</v>
      </c>
      <c r="E195" s="13">
        <v>1155</v>
      </c>
      <c r="F195" s="29">
        <f t="shared" si="11"/>
        <v>1500</v>
      </c>
      <c r="G195" s="22">
        <v>125</v>
      </c>
      <c r="H195" s="28" t="s">
        <v>47</v>
      </c>
      <c r="I195" s="13"/>
      <c r="J195" s="29">
        <f>IF(G195="",0,IF(I195&gt;0,I195,IF(H195="A",G195,IF(H195="M",G195*12,IF(H195="W",G195*Lookups!B$9,IF(H195="B",G195*+Lookups!B$10,IF(H195="S",G195*2,IF(AND(G195=0,I195&gt;0),I195,"ERROR"))))))))</f>
        <v>1500</v>
      </c>
      <c r="K195" s="26">
        <f t="shared" si="13"/>
        <v>0</v>
      </c>
      <c r="L195" s="27" t="str">
        <f t="shared" si="14"/>
        <v>S</v>
      </c>
    </row>
    <row r="196" spans="1:17" x14ac:dyDescent="0.35">
      <c r="A196" s="30" t="s">
        <v>230</v>
      </c>
      <c r="B196" s="4" t="s">
        <v>231</v>
      </c>
      <c r="C196" s="24">
        <v>5100</v>
      </c>
      <c r="D196" s="22">
        <v>5100</v>
      </c>
      <c r="E196" s="13">
        <v>3825</v>
      </c>
      <c r="F196" s="29">
        <f t="shared" ref="F196:F210" si="15">IF(D196=0,E196,IF(AND(E196=0,H196="A"),D196,IF(E196&gt;D196,E196, IF(E196/D196&gt;0.73,D196,E196))))</f>
        <v>5100</v>
      </c>
      <c r="G196" s="22"/>
      <c r="H196" s="28" t="s">
        <v>47</v>
      </c>
      <c r="I196" s="13">
        <v>5100</v>
      </c>
      <c r="J196" s="29">
        <f>IF(G196="",0,IF(I196&gt;0,I196,IF(H196="A",G196,IF(H196="M",G196*12,IF(H196="W",G196*Lookups!B$9,IF(H196="B",G196*+Lookups!B$10,IF(H196="S",G196*2,IF(AND(G196=0,I196&gt;0),I196,"ERROR"))))))))</f>
        <v>0</v>
      </c>
      <c r="K196" s="26" t="str">
        <f t="shared" si="13"/>
        <v/>
      </c>
      <c r="L196" s="27" t="str">
        <f t="shared" si="14"/>
        <v>E</v>
      </c>
    </row>
    <row r="197" spans="1:17" x14ac:dyDescent="0.35">
      <c r="A197" s="30" t="s">
        <v>232</v>
      </c>
      <c r="B197" s="4" t="s">
        <v>229</v>
      </c>
      <c r="C197" s="24">
        <v>1104</v>
      </c>
      <c r="D197" s="22">
        <v>1128</v>
      </c>
      <c r="E197" s="13">
        <v>846</v>
      </c>
      <c r="F197" s="29">
        <f t="shared" si="15"/>
        <v>1128</v>
      </c>
      <c r="G197" s="22"/>
      <c r="H197" s="28" t="s">
        <v>47</v>
      </c>
      <c r="I197" s="13">
        <v>1000</v>
      </c>
      <c r="J197" s="29">
        <f>IF(G197="",0,IF(I197&gt;0,I197,IF(H197="A",G197,IF(H197="M",G197*12,IF(H197="W",G197*Lookups!B$9,IF(H197="B",G197*+Lookups!B$10,IF(H197="S",G197*2,IF(AND(G197=0,I197&gt;0),I197,"ERROR"))))))))</f>
        <v>0</v>
      </c>
      <c r="K197" s="26" t="str">
        <f t="shared" si="13"/>
        <v/>
      </c>
      <c r="L197" s="27" t="str">
        <f t="shared" si="14"/>
        <v>E</v>
      </c>
    </row>
    <row r="198" spans="1:17" x14ac:dyDescent="0.35">
      <c r="A198" s="91" t="s">
        <v>233</v>
      </c>
      <c r="B198" s="92" t="s">
        <v>234</v>
      </c>
      <c r="C198" s="114">
        <v>5400</v>
      </c>
      <c r="D198" s="94">
        <v>5400</v>
      </c>
      <c r="E198" s="93">
        <v>4050</v>
      </c>
      <c r="F198" s="95">
        <f t="shared" si="15"/>
        <v>5400</v>
      </c>
      <c r="G198" s="94"/>
      <c r="H198" s="96" t="s">
        <v>47</v>
      </c>
      <c r="I198" s="93">
        <v>5400</v>
      </c>
      <c r="J198" s="95">
        <f>IF(G198="",0,IF(I198&gt;0,I198,IF(H198="A",G198,IF(H198="M",G198*12,IF(H198="W",G198*Lookups!B$9,IF(H198="B",G198*+Lookups!B$10,IF(H198="S",G198*2,IF(AND(G198=0,I198&gt;0),I198,"ERROR"))))))))</f>
        <v>0</v>
      </c>
      <c r="K198" s="26" t="str">
        <f t="shared" si="13"/>
        <v/>
      </c>
      <c r="L198" s="97" t="str">
        <f t="shared" si="14"/>
        <v>E</v>
      </c>
      <c r="M198" s="98"/>
      <c r="N198" s="98"/>
      <c r="O198" s="98"/>
      <c r="P198" s="99"/>
      <c r="Q198" s="100"/>
    </row>
    <row r="199" spans="1:17" x14ac:dyDescent="0.35">
      <c r="A199" s="101" t="s">
        <v>369</v>
      </c>
      <c r="B199" s="102" t="s">
        <v>370</v>
      </c>
      <c r="C199" s="112">
        <v>5500</v>
      </c>
      <c r="D199" s="104"/>
      <c r="E199" s="103">
        <v>100</v>
      </c>
      <c r="F199" s="105">
        <f t="shared" si="15"/>
        <v>100</v>
      </c>
      <c r="G199" s="104"/>
      <c r="H199" s="106"/>
      <c r="I199" s="103"/>
      <c r="J199" s="105">
        <f>IF(G199="",0,IF(I199&gt;0,I199,IF(H199="A",G199,IF(H199="M",G199*12,IF(H199="W",G199*Lookups!B$9,IF(H199="B",G199*+Lookups!B$10,IF(H199="S",G199*2,IF(AND(G199=0,I199&gt;0),I199,"ERROR"))))))))</f>
        <v>0</v>
      </c>
      <c r="K199" s="107" t="str">
        <f t="shared" si="13"/>
        <v/>
      </c>
      <c r="L199" s="108" t="str">
        <f t="shared" si="14"/>
        <v/>
      </c>
      <c r="M199" s="109" t="s">
        <v>532</v>
      </c>
      <c r="N199" s="109"/>
      <c r="O199" s="109"/>
      <c r="P199" s="110"/>
      <c r="Q199" s="111"/>
    </row>
    <row r="200" spans="1:17" x14ac:dyDescent="0.35">
      <c r="A200" s="30" t="s">
        <v>235</v>
      </c>
      <c r="B200" s="4" t="s">
        <v>236</v>
      </c>
      <c r="C200" s="24">
        <v>2080</v>
      </c>
      <c r="D200" s="22">
        <v>2600</v>
      </c>
      <c r="E200" s="13">
        <v>1440</v>
      </c>
      <c r="F200" s="29">
        <f t="shared" si="15"/>
        <v>1440</v>
      </c>
      <c r="G200" s="22">
        <v>50</v>
      </c>
      <c r="H200" s="28" t="s">
        <v>46</v>
      </c>
      <c r="I200" s="13"/>
      <c r="J200" s="29">
        <f>IF(G200="",0,IF(I200&gt;0,I200,IF(H200="A",G200,IF(H200="M",G200*12,IF(H200="W",G200*Lookups!B$9,IF(H200="B",G200*+Lookups!B$10,IF(H200="S",G200*2,IF(AND(G200=0,I200&gt;0),I200,"ERROR"))))))))</f>
        <v>2650</v>
      </c>
      <c r="K200" s="26">
        <f t="shared" si="13"/>
        <v>50</v>
      </c>
      <c r="L200" s="27" t="str">
        <f t="shared" si="14"/>
        <v>I</v>
      </c>
      <c r="M200" s="72" t="s">
        <v>521</v>
      </c>
      <c r="N200" s="73" t="s">
        <v>522</v>
      </c>
      <c r="O200" s="73" t="s">
        <v>417</v>
      </c>
      <c r="P200" s="74" t="s">
        <v>418</v>
      </c>
      <c r="Q200" s="75">
        <v>53406</v>
      </c>
    </row>
    <row r="201" spans="1:17" x14ac:dyDescent="0.35">
      <c r="A201" s="30" t="s">
        <v>371</v>
      </c>
      <c r="B201" s="4" t="s">
        <v>372</v>
      </c>
      <c r="C201" s="24">
        <v>1200</v>
      </c>
      <c r="D201" s="22"/>
      <c r="E201" s="13"/>
      <c r="F201" s="29">
        <f t="shared" si="15"/>
        <v>0</v>
      </c>
      <c r="G201" s="22"/>
      <c r="H201" s="28"/>
      <c r="I201" s="13"/>
      <c r="J201" s="29">
        <f>IF(G201="",0,IF(I201&gt;0,I201,IF(H201="A",G201,IF(H201="M",G201*12,IF(H201="W",G201*Lookups!B$9,IF(H201="B",G201*+Lookups!B$10,IF(H201="S",G201*2,IF(AND(G201=0,I201&gt;0),I201,"ERROR"))))))))</f>
        <v>0</v>
      </c>
      <c r="K201" s="26" t="str">
        <f t="shared" si="13"/>
        <v/>
      </c>
      <c r="L201" s="27" t="str">
        <f t="shared" ref="L201:L211" si="16">IF(AND(I201&gt;0,D201=0,G201=0),"X",IF(AND(I201&gt;0,D201&gt;0),"E",IF(K201="","",IF(K201=0,"S",IF(AND(K201&gt;0,NOT(D201=0)),"I",IF(AND(K201&gt;0,D201=0),"N",IF(K201&lt;0,"D","ERROR")))))))</f>
        <v/>
      </c>
    </row>
    <row r="202" spans="1:17" x14ac:dyDescent="0.35">
      <c r="A202" s="30" t="s">
        <v>237</v>
      </c>
      <c r="B202" s="4" t="s">
        <v>238</v>
      </c>
      <c r="C202" s="24">
        <v>3965</v>
      </c>
      <c r="D202" s="22">
        <v>4160</v>
      </c>
      <c r="E202" s="13">
        <v>3040</v>
      </c>
      <c r="F202" s="29">
        <f t="shared" si="15"/>
        <v>4160</v>
      </c>
      <c r="G202" s="22">
        <v>80</v>
      </c>
      <c r="H202" s="28" t="s">
        <v>46</v>
      </c>
      <c r="I202" s="13"/>
      <c r="J202" s="29">
        <f>IF(G202="",0,IF(I202&gt;0,I202,IF(H202="A",G202,IF(H202="M",G202*12,IF(H202="W",G202*Lookups!B$9,IF(H202="B",G202*+Lookups!B$10,IF(H202="S",G202*2,IF(AND(G202=0,I202&gt;0),I202,"ERROR"))))))))</f>
        <v>4240</v>
      </c>
      <c r="K202" s="26">
        <f t="shared" si="13"/>
        <v>80</v>
      </c>
      <c r="L202" s="27" t="str">
        <f t="shared" si="16"/>
        <v>I</v>
      </c>
      <c r="N202" s="78" t="s">
        <v>523</v>
      </c>
      <c r="O202" s="73" t="s">
        <v>443</v>
      </c>
      <c r="P202" s="74" t="s">
        <v>418</v>
      </c>
      <c r="Q202" s="75">
        <v>53403</v>
      </c>
    </row>
    <row r="203" spans="1:17" x14ac:dyDescent="0.35">
      <c r="A203" s="101" t="s">
        <v>237</v>
      </c>
      <c r="B203" s="102" t="s">
        <v>373</v>
      </c>
      <c r="C203" s="112">
        <v>2650</v>
      </c>
      <c r="D203" s="104"/>
      <c r="E203" s="103">
        <v>1250</v>
      </c>
      <c r="F203" s="105">
        <f t="shared" si="15"/>
        <v>1250</v>
      </c>
      <c r="G203" s="104"/>
      <c r="H203" s="106"/>
      <c r="I203" s="103"/>
      <c r="J203" s="105">
        <f>IF(G203="",0,IF(I203&gt;0,I203,IF(H203="A",G203,IF(H203="M",G203*12,IF(H203="W",G203*Lookups!B$9,IF(H203="B",G203*+Lookups!B$10,IF(H203="S",G203*2,IF(AND(G203=0,I203&gt;0),I203,"ERROR"))))))))</f>
        <v>0</v>
      </c>
      <c r="K203" s="107" t="str">
        <f t="shared" si="13"/>
        <v/>
      </c>
      <c r="L203" s="108" t="str">
        <f t="shared" si="16"/>
        <v/>
      </c>
      <c r="M203" s="109" t="s">
        <v>532</v>
      </c>
      <c r="N203" s="109"/>
      <c r="O203" s="109"/>
      <c r="P203" s="110"/>
      <c r="Q203" s="111"/>
    </row>
    <row r="204" spans="1:17" x14ac:dyDescent="0.35">
      <c r="A204" s="30" t="s">
        <v>239</v>
      </c>
      <c r="B204" s="4" t="s">
        <v>240</v>
      </c>
      <c r="C204" s="24">
        <v>5500</v>
      </c>
      <c r="D204" s="22">
        <v>5500</v>
      </c>
      <c r="E204" s="13">
        <v>4500</v>
      </c>
      <c r="F204" s="29">
        <f t="shared" si="15"/>
        <v>5500</v>
      </c>
      <c r="G204" s="22">
        <v>5500</v>
      </c>
      <c r="H204" s="28" t="s">
        <v>43</v>
      </c>
      <c r="I204" s="13"/>
      <c r="J204" s="29">
        <f>IF(G204="",0,IF(I204&gt;0,I204,IF(H204="A",G204,IF(H204="M",G204*12,IF(H204="W",G204*Lookups!B$9,IF(H204="B",G204*+Lookups!B$10,IF(H204="S",G204*2,IF(AND(G204=0,I204&gt;0),I204,"ERROR"))))))))</f>
        <v>5500</v>
      </c>
      <c r="K204" s="26">
        <f t="shared" si="13"/>
        <v>0</v>
      </c>
      <c r="L204" s="27" t="str">
        <f t="shared" si="16"/>
        <v>S</v>
      </c>
    </row>
    <row r="205" spans="1:17" x14ac:dyDescent="0.35">
      <c r="A205" s="30" t="s">
        <v>241</v>
      </c>
      <c r="B205" s="4" t="s">
        <v>242</v>
      </c>
      <c r="C205" s="24">
        <v>735</v>
      </c>
      <c r="D205" s="22">
        <v>780</v>
      </c>
      <c r="E205" s="13">
        <v>585</v>
      </c>
      <c r="F205" s="29">
        <f t="shared" si="15"/>
        <v>780</v>
      </c>
      <c r="G205" s="22">
        <v>65</v>
      </c>
      <c r="H205" s="28" t="s">
        <v>47</v>
      </c>
      <c r="I205" s="13"/>
      <c r="J205" s="29">
        <f>IF(G205="",0,IF(I205&gt;0,I205,IF(H205="A",G205,IF(H205="M",G205*12,IF(H205="W",G205*Lookups!B$9,IF(H205="B",G205*+Lookups!B$10,IF(H205="S",G205*2,IF(AND(G205=0,I205&gt;0),I205,"ERROR"))))))))</f>
        <v>780</v>
      </c>
      <c r="K205" s="26">
        <f t="shared" si="13"/>
        <v>0</v>
      </c>
      <c r="L205" s="27" t="str">
        <f t="shared" si="16"/>
        <v>S</v>
      </c>
      <c r="M205" s="72" t="s">
        <v>524</v>
      </c>
      <c r="N205" s="73" t="s">
        <v>525</v>
      </c>
      <c r="O205" s="73" t="s">
        <v>443</v>
      </c>
      <c r="P205" s="74" t="s">
        <v>418</v>
      </c>
      <c r="Q205" s="75">
        <v>53405</v>
      </c>
    </row>
    <row r="206" spans="1:17" x14ac:dyDescent="0.35">
      <c r="A206" s="30" t="s">
        <v>374</v>
      </c>
      <c r="B206" s="4" t="s">
        <v>26</v>
      </c>
      <c r="C206" s="24">
        <v>50</v>
      </c>
      <c r="D206" s="22"/>
      <c r="E206" s="13">
        <v>100</v>
      </c>
      <c r="F206" s="29">
        <f t="shared" si="15"/>
        <v>100</v>
      </c>
      <c r="G206" s="22"/>
      <c r="H206" s="28"/>
      <c r="I206" s="13"/>
      <c r="J206" s="29">
        <f>IF(G206="",0,IF(I206&gt;0,I206,IF(H206="A",G206,IF(H206="M",G206*12,IF(H206="W",G206*Lookups!B$9,IF(H206="B",G206*+Lookups!B$10,IF(H206="S",G206*2,IF(AND(G206=0,I206&gt;0),I206,"ERROR"))))))))</f>
        <v>0</v>
      </c>
      <c r="K206" s="26" t="str">
        <f t="shared" si="13"/>
        <v/>
      </c>
      <c r="L206" s="27" t="str">
        <f t="shared" si="16"/>
        <v/>
      </c>
    </row>
    <row r="207" spans="1:17" x14ac:dyDescent="0.35">
      <c r="A207" s="30" t="s">
        <v>243</v>
      </c>
      <c r="B207" s="4" t="s">
        <v>244</v>
      </c>
      <c r="C207" s="24">
        <v>4160</v>
      </c>
      <c r="D207" s="22">
        <v>8320</v>
      </c>
      <c r="E207" s="13">
        <v>6080</v>
      </c>
      <c r="F207" s="29">
        <f t="shared" si="15"/>
        <v>8320</v>
      </c>
      <c r="G207" s="22">
        <v>160</v>
      </c>
      <c r="H207" s="28" t="s">
        <v>46</v>
      </c>
      <c r="I207" s="13"/>
      <c r="J207" s="29">
        <f>IF(G207="",0,IF(I207&gt;0,I207,IF(H207="A",G207,IF(H207="M",G207*12,IF(H207="W",G207*Lookups!B$9,IF(H207="B",G207*+Lookups!B$10,IF(H207="S",G207*2,IF(AND(G207=0,I207&gt;0),I207,"ERROR"))))))))</f>
        <v>8480</v>
      </c>
      <c r="K207" s="26">
        <f t="shared" si="13"/>
        <v>160</v>
      </c>
      <c r="L207" s="27" t="str">
        <f t="shared" si="16"/>
        <v>I</v>
      </c>
      <c r="N207" s="78"/>
    </row>
    <row r="208" spans="1:17" x14ac:dyDescent="0.35">
      <c r="A208" s="30" t="s">
        <v>375</v>
      </c>
      <c r="B208" s="4" t="s">
        <v>29</v>
      </c>
      <c r="C208" s="24">
        <v>250</v>
      </c>
      <c r="D208" s="22"/>
      <c r="E208" s="13">
        <v>100</v>
      </c>
      <c r="F208" s="29">
        <f t="shared" si="15"/>
        <v>100</v>
      </c>
      <c r="G208" s="22"/>
      <c r="H208" s="28"/>
      <c r="I208" s="13"/>
      <c r="J208" s="29">
        <f>IF(G208="",0,IF(I208&gt;0,I208,IF(H208="A",G208,IF(H208="M",G208*12,IF(H208="W",G208*Lookups!B$9,IF(H208="B",G208*+Lookups!B$10,IF(H208="S",G208*2,IF(AND(G208=0,I208&gt;0),I208,"ERROR"))))))))</f>
        <v>0</v>
      </c>
      <c r="K208" s="26" t="str">
        <f t="shared" si="13"/>
        <v/>
      </c>
      <c r="L208" s="27" t="str">
        <f t="shared" si="16"/>
        <v/>
      </c>
    </row>
    <row r="209" spans="1:17" x14ac:dyDescent="0.35">
      <c r="A209" s="30" t="s">
        <v>376</v>
      </c>
      <c r="B209" s="4" t="s">
        <v>377</v>
      </c>
      <c r="C209" s="24">
        <v>1525</v>
      </c>
      <c r="D209" s="22"/>
      <c r="E209" s="13">
        <v>1125</v>
      </c>
      <c r="F209" s="29">
        <f t="shared" si="15"/>
        <v>1125</v>
      </c>
      <c r="G209" s="22">
        <v>2000</v>
      </c>
      <c r="H209" s="28" t="s">
        <v>43</v>
      </c>
      <c r="I209" s="13"/>
      <c r="J209" s="29">
        <f>IF(G209="",0,IF(I209&gt;0,I209,IF(H209="A",G209,IF(H209="M",G209*12,IF(H209="W",G209*Lookups!B$9,IF(H209="B",G209*+Lookups!B$10,IF(H209="S",G209*2,IF(AND(G209=0,I209&gt;0),I209,"ERROR"))))))))</f>
        <v>2000</v>
      </c>
      <c r="K209" s="26">
        <f t="shared" si="13"/>
        <v>2000</v>
      </c>
      <c r="L209" s="27" t="str">
        <f t="shared" si="16"/>
        <v>N</v>
      </c>
      <c r="M209" s="72" t="s">
        <v>526</v>
      </c>
    </row>
    <row r="210" spans="1:17" x14ac:dyDescent="0.35">
      <c r="A210" s="101" t="s">
        <v>245</v>
      </c>
      <c r="B210" s="102" t="s">
        <v>246</v>
      </c>
      <c r="C210" s="112">
        <v>800</v>
      </c>
      <c r="D210" s="104">
        <v>800</v>
      </c>
      <c r="E210" s="103">
        <v>800</v>
      </c>
      <c r="F210" s="105">
        <f t="shared" si="15"/>
        <v>800</v>
      </c>
      <c r="G210" s="104"/>
      <c r="H210" s="106" t="s">
        <v>43</v>
      </c>
      <c r="I210" s="103"/>
      <c r="J210" s="105">
        <f>IF(G210="",0,IF(I210&gt;0,I210,IF(H210="A",G210,IF(H210="M",G210*12,IF(H210="W",G210*Lookups!B$9,IF(H210="B",G210*+Lookups!B$10,IF(H210="S",G210*2,IF(AND(G210=0,I210&gt;0),I210,"ERROR"))))))))</f>
        <v>0</v>
      </c>
      <c r="K210" s="107">
        <f t="shared" si="13"/>
        <v>-800</v>
      </c>
      <c r="L210" s="108" t="str">
        <f t="shared" si="16"/>
        <v>D</v>
      </c>
      <c r="M210" s="109" t="s">
        <v>540</v>
      </c>
      <c r="N210" s="109"/>
      <c r="O210" s="109"/>
      <c r="P210" s="110"/>
      <c r="Q210" s="111"/>
    </row>
    <row r="211" spans="1:17" x14ac:dyDescent="0.35">
      <c r="A211" s="30"/>
      <c r="B211" s="4"/>
      <c r="C211" s="24"/>
      <c r="D211" s="22"/>
      <c r="E211" s="13"/>
      <c r="F211" s="29">
        <f>IF(D211=0,E211,IF(AND(E211=0,H211="A"),D211,IF(E211&gt;D211,E211, IF(E211/D211&gt;0.73,D211,E211))))</f>
        <v>0</v>
      </c>
      <c r="G211" s="22"/>
      <c r="H211" s="28"/>
      <c r="I211" s="28"/>
      <c r="J211" s="29">
        <f>IF(G211="",0,IF(I211&gt;0,I211,IF(H211="A",G211,IF(H211="M",G211*12,IF(H211="W",G211*Lookups!B$9,IF(H211="B",G211*+Lookups!B$10,IF(H211="S",G211*2,IF(AND(G211=0,I211&gt;0),I211,"ERROR"))))))))</f>
        <v>0</v>
      </c>
      <c r="K211" s="26" t="str">
        <f t="shared" si="13"/>
        <v/>
      </c>
      <c r="L211" s="27" t="str">
        <f t="shared" si="16"/>
        <v/>
      </c>
    </row>
    <row r="212" spans="1:17" ht="15" thickBot="1" x14ac:dyDescent="0.4">
      <c r="A212" s="23" t="s">
        <v>44</v>
      </c>
      <c r="B212" s="11"/>
      <c r="C212" s="25">
        <f>SUM(C4:C211)</f>
        <v>452163.64</v>
      </c>
      <c r="D212" s="23">
        <f>SUM(D4:D211)</f>
        <v>369897.8</v>
      </c>
      <c r="E212" s="10">
        <f>SUM(E4:E211)</f>
        <v>335208.75</v>
      </c>
      <c r="F212" s="11">
        <f>SUM(F4:F211)</f>
        <v>381271.55</v>
      </c>
      <c r="G212" s="23">
        <f>SUM(G4:G211)</f>
        <v>125910.75</v>
      </c>
      <c r="H212" s="10"/>
      <c r="I212" s="10">
        <f>SUM(I4:I211)</f>
        <v>86870</v>
      </c>
      <c r="J212" s="11">
        <f>SUM(J4:J211)</f>
        <v>306703.75</v>
      </c>
      <c r="K212" s="23">
        <f>SUM(K4:K211)</f>
        <v>1152</v>
      </c>
      <c r="L212" s="11"/>
    </row>
    <row r="213" spans="1:17" x14ac:dyDescent="0.35">
      <c r="A213" s="1" t="s">
        <v>48</v>
      </c>
    </row>
    <row r="214" spans="1:17" x14ac:dyDescent="0.35">
      <c r="A214" s="1" t="str">
        <f>"**  S=Same, D= Decrease, I=Increase, N=New, E=Esimate (Pledged in "&amp;D2&amp;" but not in "&amp;G2&amp;"), X=Esimate does not pledge but gave in "&amp;D2</f>
        <v>**  S=Same, D= Decrease, I=Increase, N=New, E=Esimate (Pledged in 2022 but not in 2023), X=Esimate does not pledge but gave in 2022</v>
      </c>
    </row>
  </sheetData>
  <mergeCells count="7">
    <mergeCell ref="M2:Q2"/>
    <mergeCell ref="A1:L1"/>
    <mergeCell ref="C2:C3"/>
    <mergeCell ref="A2:B2"/>
    <mergeCell ref="K2:L2"/>
    <mergeCell ref="G2:J2"/>
    <mergeCell ref="D2:F2"/>
  </mergeCells>
  <hyperlinks>
    <hyperlink ref="M134" r:id="rId1"/>
    <hyperlink ref="M10" r:id="rId2"/>
    <hyperlink ref="M8" r:id="rId3"/>
    <hyperlink ref="M12" r:id="rId4"/>
    <hyperlink ref="M14" r:id="rId5"/>
    <hyperlink ref="M16" r:id="rId6"/>
    <hyperlink ref="M17" r:id="rId7"/>
    <hyperlink ref="M20" r:id="rId8"/>
    <hyperlink ref="M24" r:id="rId9"/>
    <hyperlink ref="M29" r:id="rId10"/>
    <hyperlink ref="M31" r:id="rId11"/>
    <hyperlink ref="M36" r:id="rId12"/>
    <hyperlink ref="M45" r:id="rId13"/>
    <hyperlink ref="M54" r:id="rId14"/>
    <hyperlink ref="M59" r:id="rId15"/>
    <hyperlink ref="M60" r:id="rId16"/>
    <hyperlink ref="M67" r:id="rId17"/>
    <hyperlink ref="M68" r:id="rId18"/>
    <hyperlink ref="M69" r:id="rId19"/>
    <hyperlink ref="M70" r:id="rId20"/>
    <hyperlink ref="M77" r:id="rId21"/>
    <hyperlink ref="M81" r:id="rId22"/>
    <hyperlink ref="M84" r:id="rId23"/>
    <hyperlink ref="M85" r:id="rId24"/>
    <hyperlink ref="M86" r:id="rId25"/>
    <hyperlink ref="M88" r:id="rId26"/>
    <hyperlink ref="M89" r:id="rId27"/>
    <hyperlink ref="M99" r:id="rId28"/>
    <hyperlink ref="M113" r:id="rId29"/>
    <hyperlink ref="M123" r:id="rId30"/>
    <hyperlink ref="M124" r:id="rId31"/>
    <hyperlink ref="M126" r:id="rId32"/>
    <hyperlink ref="M127" r:id="rId33"/>
    <hyperlink ref="M130" r:id="rId34"/>
    <hyperlink ref="M137" r:id="rId35"/>
    <hyperlink ref="M138" r:id="rId36"/>
    <hyperlink ref="M142" r:id="rId37"/>
    <hyperlink ref="M162" r:id="rId38"/>
    <hyperlink ref="M170" r:id="rId39"/>
    <hyperlink ref="M179" r:id="rId40"/>
    <hyperlink ref="M187" r:id="rId41"/>
    <hyperlink ref="M200" r:id="rId42"/>
    <hyperlink ref="M205" r:id="rId43"/>
    <hyperlink ref="M209" r:id="rId44"/>
  </hyperlinks>
  <pageMargins left="0.7" right="0.7" top="0.75" bottom="0.75" header="0.3" footer="0.3"/>
  <pageSetup scale="34" fitToHeight="0" orientation="portrait" horizontalDpi="0" verticalDpi="0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0" workbookViewId="0">
      <selection activeCell="M14" sqref="M14"/>
    </sheetView>
  </sheetViews>
  <sheetFormatPr defaultRowHeight="14.5" x14ac:dyDescent="0.35"/>
  <cols>
    <col min="1" max="1" width="33.81640625" customWidth="1"/>
    <col min="2" max="2" width="9.81640625" customWidth="1"/>
    <col min="3" max="3" width="10.1796875" customWidth="1"/>
    <col min="5" max="5" width="9.6328125" customWidth="1"/>
    <col min="7" max="7" width="14.453125" customWidth="1"/>
    <col min="8" max="8" width="8.1796875" customWidth="1"/>
    <col min="9" max="9" width="10" customWidth="1"/>
  </cols>
  <sheetData>
    <row r="1" spans="1:10" ht="18.5" x14ac:dyDescent="0.45">
      <c r="A1" s="131" t="s">
        <v>401</v>
      </c>
      <c r="B1" s="132"/>
      <c r="C1" s="132"/>
      <c r="D1" s="132"/>
      <c r="E1" s="132"/>
      <c r="F1" s="17"/>
    </row>
    <row r="2" spans="1:10" ht="29" x14ac:dyDescent="0.35">
      <c r="A2" s="2"/>
      <c r="B2" s="8" t="s">
        <v>51</v>
      </c>
      <c r="C2" s="12" t="s">
        <v>7</v>
      </c>
      <c r="D2" s="8" t="s">
        <v>60</v>
      </c>
      <c r="E2" s="41" t="s">
        <v>59</v>
      </c>
      <c r="F2" s="42" t="s">
        <v>58</v>
      </c>
    </row>
    <row r="3" spans="1:10" x14ac:dyDescent="0.35">
      <c r="A3" s="14" t="s">
        <v>3</v>
      </c>
      <c r="B3" s="62">
        <f>COUNTIF(Data!C$4:C211,"&gt;0")</f>
        <v>189</v>
      </c>
      <c r="C3" s="117">
        <f>+Data!C212</f>
        <v>452163.64</v>
      </c>
      <c r="D3" s="118"/>
      <c r="E3" s="117"/>
      <c r="F3" s="119"/>
    </row>
    <row r="4" spans="1:10" x14ac:dyDescent="0.35">
      <c r="A4" s="5" t="s">
        <v>54</v>
      </c>
      <c r="B4" s="18"/>
      <c r="C4" s="33"/>
      <c r="D4" s="7"/>
      <c r="E4" s="33"/>
      <c r="F4" s="6"/>
    </row>
    <row r="5" spans="1:10" x14ac:dyDescent="0.35">
      <c r="A5" s="2" t="s">
        <v>52</v>
      </c>
      <c r="B5" s="18">
        <f>COUNTIF(Data!D$4:D211,"&gt;0")</f>
        <v>113</v>
      </c>
      <c r="C5" s="34">
        <f>+Data!D212</f>
        <v>369897.8</v>
      </c>
      <c r="D5" s="15">
        <f>+C5/C$7</f>
        <v>0.81475322235824776</v>
      </c>
      <c r="E5" s="34"/>
      <c r="F5" s="6"/>
    </row>
    <row r="6" spans="1:10" x14ac:dyDescent="0.35">
      <c r="A6" s="2" t="s">
        <v>57</v>
      </c>
      <c r="B6" s="61">
        <v>18</v>
      </c>
      <c r="C6" s="35">
        <f>36130+47972</f>
        <v>84102</v>
      </c>
      <c r="D6" s="15">
        <f>+C6/C$7</f>
        <v>0.18524677764175226</v>
      </c>
      <c r="E6" s="34"/>
      <c r="F6" s="6"/>
    </row>
    <row r="7" spans="1:10" x14ac:dyDescent="0.35">
      <c r="A7" s="14" t="s">
        <v>400</v>
      </c>
      <c r="B7" s="62">
        <f>SUM(B5:B6)</f>
        <v>131</v>
      </c>
      <c r="C7" s="36">
        <f>SUM(C5:C6)</f>
        <v>453999.8</v>
      </c>
      <c r="D7" s="16">
        <f>+C7/C$7</f>
        <v>1</v>
      </c>
      <c r="E7" s="38">
        <f>+C7-C3</f>
        <v>1836.1599999999744</v>
      </c>
      <c r="F7" s="43">
        <f>+E7/C3</f>
        <v>4.060830720488658E-3</v>
      </c>
    </row>
    <row r="8" spans="1:10" x14ac:dyDescent="0.35">
      <c r="A8" s="2" t="s">
        <v>55</v>
      </c>
      <c r="B8" s="18">
        <f>COUNTIF(Data!E$4:E211,"&gt;0")</f>
        <v>174</v>
      </c>
      <c r="C8" s="34">
        <f>+Data!E212</f>
        <v>335208.75</v>
      </c>
      <c r="D8" s="7"/>
      <c r="E8" s="34">
        <f>+C8-C7</f>
        <v>-118791.04999999999</v>
      </c>
      <c r="F8" s="48">
        <f>ROUND((+C8/C7),3)</f>
        <v>0.73799999999999999</v>
      </c>
    </row>
    <row r="9" spans="1:10" x14ac:dyDescent="0.35">
      <c r="A9" s="5" t="s">
        <v>53</v>
      </c>
      <c r="B9" s="18"/>
      <c r="C9" s="34"/>
      <c r="D9" s="3"/>
      <c r="E9" s="34"/>
      <c r="F9" s="6"/>
    </row>
    <row r="10" spans="1:10" x14ac:dyDescent="0.35">
      <c r="A10" s="2" t="s">
        <v>52</v>
      </c>
      <c r="B10" s="63">
        <f>COUNTIF(Data!J$4:J211,"&gt;0")</f>
        <v>95</v>
      </c>
      <c r="C10" s="34">
        <f>+Data!J212</f>
        <v>306703.75</v>
      </c>
      <c r="D10" s="15">
        <f>+C10/C$12</f>
        <v>0.77927897884449859</v>
      </c>
      <c r="E10" s="34"/>
      <c r="F10" s="6"/>
      <c r="G10" s="79"/>
      <c r="H10" s="79"/>
      <c r="I10" s="79"/>
    </row>
    <row r="11" spans="1:10" x14ac:dyDescent="0.35">
      <c r="A11" s="2" t="s">
        <v>537</v>
      </c>
      <c r="B11" s="63">
        <f>COUNTIF(Data!I8:I211,"&gt;0")</f>
        <v>45</v>
      </c>
      <c r="C11" s="34">
        <f>+Data!I212</f>
        <v>86870</v>
      </c>
      <c r="D11" s="15">
        <f>+C11/C$12</f>
        <v>0.22072102115550135</v>
      </c>
      <c r="E11" s="34"/>
      <c r="F11" s="6"/>
    </row>
    <row r="12" spans="1:10" ht="15" thickBot="1" x14ac:dyDescent="0.4">
      <c r="A12" s="9" t="s">
        <v>56</v>
      </c>
      <c r="B12" s="64">
        <f>SUM(B10:B11)</f>
        <v>140</v>
      </c>
      <c r="C12" s="37">
        <f>SUM(C10:C11)</f>
        <v>393573.75</v>
      </c>
      <c r="D12" s="20">
        <f>+C12/C$7</f>
        <v>0.86690291493520488</v>
      </c>
      <c r="E12" s="37">
        <f>+C12-C7</f>
        <v>-60426.049999999988</v>
      </c>
      <c r="F12" s="21">
        <f>+E12/C7</f>
        <v>-0.13309708506479517</v>
      </c>
    </row>
    <row r="13" spans="1:10" ht="15" thickBot="1" x14ac:dyDescent="0.4"/>
    <row r="14" spans="1:10" ht="18.5" x14ac:dyDescent="0.45">
      <c r="A14" s="131" t="s">
        <v>61</v>
      </c>
      <c r="B14" s="132"/>
      <c r="C14" s="132"/>
      <c r="D14" s="132"/>
      <c r="E14" s="132"/>
      <c r="F14" s="132"/>
      <c r="G14" s="132"/>
      <c r="H14" s="132"/>
      <c r="I14" s="132"/>
      <c r="J14" s="133"/>
    </row>
    <row r="15" spans="1:10" x14ac:dyDescent="0.35">
      <c r="A15" s="2"/>
      <c r="B15" s="12">
        <v>2021</v>
      </c>
      <c r="C15" s="12">
        <v>2022</v>
      </c>
      <c r="D15" s="12">
        <v>2023</v>
      </c>
      <c r="E15" s="12">
        <f>+D15</f>
        <v>2023</v>
      </c>
      <c r="F15" s="41" t="s">
        <v>543</v>
      </c>
      <c r="G15" s="3"/>
      <c r="H15" s="3"/>
      <c r="I15" s="3"/>
      <c r="J15" s="6"/>
    </row>
    <row r="16" spans="1:10" x14ac:dyDescent="0.35">
      <c r="A16" s="2" t="s">
        <v>66</v>
      </c>
      <c r="B16" s="61">
        <v>32</v>
      </c>
      <c r="C16" s="61">
        <v>32</v>
      </c>
      <c r="D16" s="18">
        <f>COUNTIF(Data!L$4:L211,"S")</f>
        <v>38</v>
      </c>
      <c r="E16" s="65">
        <f>SUMIF(Data!L$4:L211,"S",Data!J$4:J211)</f>
        <v>84483.75</v>
      </c>
      <c r="F16" s="115">
        <f>+E16/E$21</f>
        <v>0.21465798976684802</v>
      </c>
      <c r="G16" s="3" t="s">
        <v>63</v>
      </c>
      <c r="H16" s="3"/>
      <c r="I16" s="3"/>
      <c r="J16" s="6"/>
    </row>
    <row r="17" spans="1:10" x14ac:dyDescent="0.35">
      <c r="A17" s="2" t="s">
        <v>67</v>
      </c>
      <c r="B17" s="61">
        <v>52</v>
      </c>
      <c r="C17" s="61">
        <v>52</v>
      </c>
      <c r="D17" s="18">
        <f>COUNTIF(Data!L$4:L211,"I")</f>
        <v>37</v>
      </c>
      <c r="E17" s="65">
        <f>SUMIF(Data!L$4:L211,"I",Data!J$4:J211)</f>
        <v>102115</v>
      </c>
      <c r="F17" s="115">
        <f t="shared" ref="F17:F20" si="0">+E17/E$21</f>
        <v>0.25945581990668837</v>
      </c>
      <c r="G17" s="3" t="str">
        <f>+"Increased pledge from 2022 (increase = $"&amp;ROUND(SUMIF(Data!L$4:L211,"I",Data!K$4:K211),0)&amp;")"</f>
        <v>Increased pledge from 2022 (increase = $8323)</v>
      </c>
      <c r="H17" s="3"/>
      <c r="I17" s="3"/>
      <c r="J17" s="6"/>
    </row>
    <row r="18" spans="1:10" x14ac:dyDescent="0.35">
      <c r="A18" s="2" t="s">
        <v>68</v>
      </c>
      <c r="B18" s="61">
        <v>10</v>
      </c>
      <c r="C18" s="61">
        <v>0</v>
      </c>
      <c r="D18" s="18">
        <f>COUNTIF(Data!L$4:L211,"N")</f>
        <v>12</v>
      </c>
      <c r="E18" s="65">
        <f>SUMIF(Data!L$4:L211,"N",Data!J$4:J211)</f>
        <v>24290</v>
      </c>
      <c r="F18" s="115">
        <f t="shared" si="0"/>
        <v>6.1716514376276364E-2</v>
      </c>
      <c r="G18" s="3" t="s">
        <v>62</v>
      </c>
      <c r="H18" s="3"/>
      <c r="I18" s="3"/>
      <c r="J18" s="6"/>
    </row>
    <row r="19" spans="1:10" x14ac:dyDescent="0.35">
      <c r="A19" s="2" t="s">
        <v>69</v>
      </c>
      <c r="B19" s="61">
        <v>2</v>
      </c>
      <c r="C19" s="61">
        <v>2</v>
      </c>
      <c r="D19" s="18">
        <f>COUNTIF(Data!L$4:L211,"D")</f>
        <v>16</v>
      </c>
      <c r="E19" s="65">
        <f>SUMIF(Data!L$4:L211,"D",Data!J$4:J211)</f>
        <v>95815</v>
      </c>
      <c r="F19" s="115">
        <f t="shared" si="0"/>
        <v>0.24344865479468589</v>
      </c>
      <c r="G19" s="3" t="str">
        <f>+"Decreased pledge from 2022 (decrease = $"&amp;ABS(ROUND(SUMIF(Data!L$4:L211,"D",Data!K$4:K211),0))&amp;")"</f>
        <v>Decreased pledge from 2022 (decrease = $31461)</v>
      </c>
      <c r="H19" s="3"/>
      <c r="I19" s="3"/>
      <c r="J19" s="6"/>
    </row>
    <row r="20" spans="1:10" x14ac:dyDescent="0.35">
      <c r="A20" s="2" t="s">
        <v>539</v>
      </c>
      <c r="B20" s="66" t="s">
        <v>65</v>
      </c>
      <c r="C20" s="66">
        <v>18</v>
      </c>
      <c r="D20" s="63">
        <f>COUNTIF(Data!L$4:L211,"X")+COUNTIF(Data!L$4:L211,"E")</f>
        <v>46</v>
      </c>
      <c r="E20" s="65">
        <f>SUMIF(Data!L$4:L211,"X",Data!I$4:I211)+SUMIF(Data!L$4:L211,"E",Data!I$4:I211)</f>
        <v>86870</v>
      </c>
      <c r="F20" s="115">
        <f t="shared" si="0"/>
        <v>0.22072102115550135</v>
      </c>
      <c r="G20" s="3"/>
      <c r="H20" s="3"/>
      <c r="I20" s="3"/>
      <c r="J20" s="6"/>
    </row>
    <row r="21" spans="1:10" ht="15" thickBot="1" x14ac:dyDescent="0.4">
      <c r="A21" s="9" t="s">
        <v>64</v>
      </c>
      <c r="B21" s="67">
        <f>SUM(B16:B20)</f>
        <v>96</v>
      </c>
      <c r="C21" s="67">
        <f>SUM(C16:C20)</f>
        <v>104</v>
      </c>
      <c r="D21" s="67">
        <f>SUM(D16:D20)</f>
        <v>149</v>
      </c>
      <c r="E21" s="68">
        <f>SUM(E16:E20)</f>
        <v>393573.75</v>
      </c>
      <c r="F21" s="116">
        <f>SUM(F16:F20)</f>
        <v>1</v>
      </c>
      <c r="G21" s="31"/>
      <c r="H21" s="31"/>
      <c r="I21" s="31"/>
      <c r="J21" s="32"/>
    </row>
    <row r="22" spans="1:10" ht="15" thickBot="1" x14ac:dyDescent="0.4">
      <c r="D22" t="str">
        <f>IF(ROWS(Data!L4:L211)-COUNTBLANK(Data!L4:L211)-Summary!D21=0,"","ERROR")</f>
        <v/>
      </c>
      <c r="E22" s="1" t="str">
        <f>IF(+Data!J212++Data!I212-Summary!E21=0,"","ERROR")</f>
        <v/>
      </c>
    </row>
    <row r="23" spans="1:10" ht="19" thickBot="1" x14ac:dyDescent="0.5">
      <c r="A23" s="147" t="s">
        <v>538</v>
      </c>
      <c r="B23" s="148"/>
      <c r="C23" s="148"/>
      <c r="D23" s="148"/>
      <c r="E23" s="148"/>
      <c r="F23" s="149"/>
      <c r="G23" s="1"/>
    </row>
    <row r="24" spans="1:10" ht="29" x14ac:dyDescent="0.35">
      <c r="A24" s="2"/>
      <c r="B24" s="8" t="s">
        <v>51</v>
      </c>
      <c r="C24" s="12" t="s">
        <v>7</v>
      </c>
      <c r="D24" s="8" t="s">
        <v>60</v>
      </c>
      <c r="E24" s="18" t="s">
        <v>59</v>
      </c>
      <c r="F24" s="19" t="s">
        <v>58</v>
      </c>
    </row>
    <row r="25" spans="1:10" x14ac:dyDescent="0.35">
      <c r="A25" s="52" t="str">
        <f>+A7</f>
        <v>Total 2022 Budget</v>
      </c>
      <c r="B25" s="69"/>
      <c r="C25" s="53">
        <f>+C7</f>
        <v>453999.8</v>
      </c>
      <c r="D25" s="54"/>
      <c r="E25" s="55"/>
      <c r="F25" s="56"/>
    </row>
    <row r="26" spans="1:10" x14ac:dyDescent="0.35">
      <c r="A26" s="47" t="s">
        <v>408</v>
      </c>
      <c r="B26" s="70"/>
      <c r="C26" s="49">
        <f>+C25-C28-C29-C30</f>
        <v>351755.8</v>
      </c>
      <c r="D26" s="44"/>
      <c r="E26" s="45"/>
      <c r="F26" s="46"/>
    </row>
    <row r="27" spans="1:10" x14ac:dyDescent="0.35">
      <c r="A27" s="57" t="s">
        <v>407</v>
      </c>
      <c r="B27" s="71">
        <f>+B8</f>
        <v>174</v>
      </c>
      <c r="C27" s="58">
        <f>+C8</f>
        <v>335208.75</v>
      </c>
      <c r="D27" s="59"/>
      <c r="E27" s="58">
        <f>+C27-C26</f>
        <v>-16547.049999999988</v>
      </c>
      <c r="F27" s="60">
        <f>+E27/C26</f>
        <v>-4.7041299674376341E-2</v>
      </c>
    </row>
    <row r="28" spans="1:10" x14ac:dyDescent="0.35">
      <c r="A28" s="2" t="s">
        <v>402</v>
      </c>
      <c r="B28" s="18"/>
      <c r="C28" s="35">
        <v>24255</v>
      </c>
      <c r="D28" s="3"/>
      <c r="E28" s="3"/>
      <c r="F28" s="6"/>
    </row>
    <row r="29" spans="1:10" x14ac:dyDescent="0.35">
      <c r="A29" s="2" t="s">
        <v>403</v>
      </c>
      <c r="B29" s="18"/>
      <c r="C29" s="35">
        <v>23344</v>
      </c>
      <c r="D29" s="3"/>
      <c r="E29" s="3"/>
      <c r="F29" s="6"/>
    </row>
    <row r="30" spans="1:10" x14ac:dyDescent="0.35">
      <c r="A30" s="2" t="s">
        <v>404</v>
      </c>
      <c r="B30" s="18"/>
      <c r="C30" s="35">
        <v>54645</v>
      </c>
      <c r="D30" s="3"/>
      <c r="E30" s="3"/>
      <c r="F30" s="6"/>
    </row>
    <row r="31" spans="1:10" ht="15" thickBot="1" x14ac:dyDescent="0.4">
      <c r="A31" s="9" t="s">
        <v>405</v>
      </c>
      <c r="B31" s="67"/>
      <c r="C31" s="39">
        <f>+SUM(C27:C30)</f>
        <v>437452.75</v>
      </c>
      <c r="D31" s="31"/>
      <c r="E31" s="39">
        <f>+C31-C25</f>
        <v>-16547.049999999988</v>
      </c>
      <c r="F31" s="51">
        <f>+E31/C25</f>
        <v>-3.6447262752098107E-2</v>
      </c>
    </row>
  </sheetData>
  <mergeCells count="3">
    <mergeCell ref="A1:E1"/>
    <mergeCell ref="A23:F23"/>
    <mergeCell ref="A14:J14"/>
  </mergeCells>
  <pageMargins left="0.7" right="0.7" top="0.5" bottom="0.5" header="0.3" footer="0.3"/>
  <pageSetup orientation="landscape" horizontalDpi="0" verticalDpi="0" r:id="rId1"/>
  <headerFooter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B10" sqref="B10"/>
    </sheetView>
  </sheetViews>
  <sheetFormatPr defaultRowHeight="14.5" x14ac:dyDescent="0.35"/>
  <cols>
    <col min="1" max="1" width="10.81640625" customWidth="1"/>
  </cols>
  <sheetData>
    <row r="2" spans="1:2" x14ac:dyDescent="0.35">
      <c r="A2" t="s">
        <v>406</v>
      </c>
      <c r="B2" s="50">
        <v>9</v>
      </c>
    </row>
    <row r="3" spans="1:2" x14ac:dyDescent="0.35">
      <c r="A3" s="40" t="s">
        <v>49</v>
      </c>
      <c r="B3">
        <f>+B2/12</f>
        <v>0.75</v>
      </c>
    </row>
    <row r="4" spans="1:2" x14ac:dyDescent="0.35">
      <c r="A4" s="40" t="s">
        <v>47</v>
      </c>
      <c r="B4">
        <f>+B2/12</f>
        <v>0.75</v>
      </c>
    </row>
    <row r="5" spans="1:2" x14ac:dyDescent="0.35">
      <c r="A5" s="40" t="s">
        <v>46</v>
      </c>
      <c r="B5">
        <f>+(13+13+13)/52</f>
        <v>0.75</v>
      </c>
    </row>
    <row r="8" spans="1:2" x14ac:dyDescent="0.35">
      <c r="B8">
        <v>2023</v>
      </c>
    </row>
    <row r="9" spans="1:2" x14ac:dyDescent="0.35">
      <c r="A9" t="s">
        <v>527</v>
      </c>
      <c r="B9" s="50">
        <v>53</v>
      </c>
    </row>
    <row r="10" spans="1:2" x14ac:dyDescent="0.35">
      <c r="A10" t="s">
        <v>528</v>
      </c>
      <c r="B10" s="50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Print</vt:lpstr>
      <vt:lpstr>Data</vt:lpstr>
      <vt:lpstr>Summary</vt:lpstr>
      <vt:lpstr>Lookups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2022-11-21T19:18:47Z</cp:lastPrinted>
  <dcterms:created xsi:type="dcterms:W3CDTF">2022-09-28T19:27:14Z</dcterms:created>
  <dcterms:modified xsi:type="dcterms:W3CDTF">2022-12-08T00:53:55Z</dcterms:modified>
</cp:coreProperties>
</file>